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fileSharing readOnlyRecommended="1"/>
  <workbookPr codeName="ThisWorkbook" defaultThemeVersion="124226"/>
  <mc:AlternateContent xmlns:mc="http://schemas.openxmlformats.org/markup-compatibility/2006">
    <mc:Choice Requires="x15">
      <x15ac:absPath xmlns:x15ac="http://schemas.microsoft.com/office/spreadsheetml/2010/11/ac" url="/Users/cda/Desktop/"/>
    </mc:Choice>
  </mc:AlternateContent>
  <xr:revisionPtr revIDLastSave="0" documentId="13_ncr:1_{3A3BE866-6F20-8A4E-ACCE-59209DC69949}" xr6:coauthVersionLast="45" xr6:coauthVersionMax="45" xr10:uidLastSave="{00000000-0000-0000-0000-000000000000}"/>
  <bookViews>
    <workbookView xWindow="-620" yWindow="-21140" windowWidth="32740" windowHeight="20540" xr2:uid="{F607ED0D-C11B-A14E-B0F5-FCD97807A2F2}"/>
  </bookViews>
  <sheets>
    <sheet name="Instructions" sheetId="11" r:id="rId1"/>
    <sheet name="National Program - Status Quo" sheetId="10" r:id="rId2"/>
    <sheet name="Patient Price Comparison" sheetId="14" r:id="rId3"/>
    <sheet name="Pilot Program (UHEP)" sheetId="13" r:id="rId4"/>
  </sheets>
  <definedNames>
    <definedName name="solver_adj" localSheetId="1" hidden="1">'National Program - Status Quo'!$I$19</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'National Program - Status Quo'!$R$44</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0" l="1"/>
  <c r="C27" i="10"/>
  <c r="C32" i="10"/>
  <c r="C34" i="10" s="1"/>
  <c r="C35" i="10" s="1"/>
  <c r="M51" i="13" l="1"/>
  <c r="N51" i="13"/>
  <c r="O51" i="13"/>
  <c r="P51" i="13"/>
  <c r="Q51" i="13"/>
  <c r="R51" i="13"/>
  <c r="S51" i="13"/>
  <c r="T51" i="13"/>
  <c r="I51" i="13"/>
  <c r="J51" i="13"/>
  <c r="K51" i="13"/>
  <c r="L51" i="13"/>
  <c r="U51" i="13"/>
  <c r="V51" i="13"/>
  <c r="W51" i="13"/>
  <c r="X51" i="13"/>
  <c r="Z5" i="13" l="1"/>
  <c r="F7" i="13"/>
  <c r="F11" i="13" s="1"/>
  <c r="F15" i="13" s="1"/>
  <c r="I7" i="13"/>
  <c r="I9" i="13" s="1"/>
  <c r="M10" i="13" s="1"/>
  <c r="J7" i="13"/>
  <c r="K7" i="13"/>
  <c r="K9" i="13" s="1"/>
  <c r="O10" i="13" s="1"/>
  <c r="L7" i="13"/>
  <c r="L8" i="13" s="1"/>
  <c r="L11" i="13" s="1"/>
  <c r="M7" i="13"/>
  <c r="M8" i="13" s="1"/>
  <c r="M11" i="13" s="1"/>
  <c r="N7" i="13"/>
  <c r="O7" i="13"/>
  <c r="O9" i="13" s="1"/>
  <c r="P7" i="13"/>
  <c r="P9" i="13" s="1"/>
  <c r="Q7" i="13"/>
  <c r="Q8" i="13" s="1"/>
  <c r="Q11" i="13" s="1"/>
  <c r="R7" i="13"/>
  <c r="S7" i="13"/>
  <c r="S8" i="13" s="1"/>
  <c r="S11" i="13" s="1"/>
  <c r="T7" i="13"/>
  <c r="T9" i="13" s="1"/>
  <c r="U7" i="13"/>
  <c r="U9" i="13" s="1"/>
  <c r="V7" i="13"/>
  <c r="W7" i="13"/>
  <c r="W8" i="13" s="1"/>
  <c r="W11" i="13" s="1"/>
  <c r="X7" i="13"/>
  <c r="X9" i="13" s="1"/>
  <c r="C9" i="13"/>
  <c r="F9" i="13"/>
  <c r="C11" i="13"/>
  <c r="C17" i="13" s="1"/>
  <c r="V13" i="13"/>
  <c r="V15" i="13" s="1"/>
  <c r="W13" i="13"/>
  <c r="W15" i="13" s="1"/>
  <c r="X13" i="13"/>
  <c r="X15" i="13" s="1"/>
  <c r="V14" i="13"/>
  <c r="V16" i="13" s="1"/>
  <c r="W14" i="13"/>
  <c r="W16" i="13" s="1"/>
  <c r="X14" i="13"/>
  <c r="X16" i="13" s="1"/>
  <c r="I18" i="13"/>
  <c r="I22" i="13" s="1"/>
  <c r="J18" i="13"/>
  <c r="J19" i="13" s="1"/>
  <c r="K18" i="13"/>
  <c r="L18" i="13"/>
  <c r="L19" i="13" s="1"/>
  <c r="M18" i="13"/>
  <c r="M19" i="13" s="1"/>
  <c r="N18" i="13"/>
  <c r="N19" i="13" s="1"/>
  <c r="O18" i="13"/>
  <c r="P18" i="13"/>
  <c r="P22" i="13" s="1"/>
  <c r="Q18" i="13"/>
  <c r="Q22" i="13" s="1"/>
  <c r="R18" i="13"/>
  <c r="R19" i="13" s="1"/>
  <c r="S18" i="13"/>
  <c r="T18" i="13"/>
  <c r="T19" i="13" s="1"/>
  <c r="U18" i="13"/>
  <c r="U22" i="13" s="1"/>
  <c r="V18" i="13"/>
  <c r="V19" i="13" s="1"/>
  <c r="W18" i="13"/>
  <c r="X18" i="13"/>
  <c r="X21" i="13" s="1"/>
  <c r="F23" i="13"/>
  <c r="F24" i="13"/>
  <c r="F25" i="13"/>
  <c r="C26" i="13"/>
  <c r="F26" i="13" s="1"/>
  <c r="C27" i="13"/>
  <c r="C28" i="13"/>
  <c r="F28" i="13" s="1"/>
  <c r="I29" i="13"/>
  <c r="J29" i="13"/>
  <c r="K29" i="13"/>
  <c r="L29" i="13"/>
  <c r="M29" i="13"/>
  <c r="N29" i="13"/>
  <c r="O29" i="13"/>
  <c r="P29" i="13"/>
  <c r="Q29" i="13"/>
  <c r="R29" i="13"/>
  <c r="S29" i="13"/>
  <c r="X29" i="13"/>
  <c r="J30" i="13"/>
  <c r="I74" i="13" s="1"/>
  <c r="R30" i="13"/>
  <c r="V30" i="13"/>
  <c r="W30" i="13"/>
  <c r="X30" i="13"/>
  <c r="C32" i="13"/>
  <c r="C33" i="13"/>
  <c r="F33" i="13"/>
  <c r="I33" i="13"/>
  <c r="I35" i="13"/>
  <c r="J35" i="13"/>
  <c r="K35" i="13"/>
  <c r="L35" i="13"/>
  <c r="M35" i="13"/>
  <c r="N35" i="13"/>
  <c r="O35" i="13"/>
  <c r="P35" i="13"/>
  <c r="Q35" i="13"/>
  <c r="R35" i="13"/>
  <c r="S35" i="13"/>
  <c r="X35" i="13"/>
  <c r="C35" i="13"/>
  <c r="C39" i="13"/>
  <c r="C41" i="13" s="1"/>
  <c r="F40" i="13" s="1"/>
  <c r="Z46" i="13"/>
  <c r="I52" i="13"/>
  <c r="J52" i="13"/>
  <c r="K52" i="13"/>
  <c r="L52" i="13"/>
  <c r="M52" i="13"/>
  <c r="N52" i="13"/>
  <c r="O52" i="13"/>
  <c r="P52" i="13"/>
  <c r="Q52" i="13"/>
  <c r="R52" i="13"/>
  <c r="S52" i="13"/>
  <c r="X52" i="13"/>
  <c r="Z53" i="13"/>
  <c r="Z54" i="13"/>
  <c r="Z57" i="13"/>
  <c r="I65" i="13"/>
  <c r="J65" i="13"/>
  <c r="K65" i="13"/>
  <c r="L65" i="13"/>
  <c r="M65" i="13"/>
  <c r="N65" i="13"/>
  <c r="O65" i="13"/>
  <c r="P65" i="13"/>
  <c r="Q65" i="13"/>
  <c r="R65" i="13"/>
  <c r="S65" i="13"/>
  <c r="X65" i="13"/>
  <c r="K8" i="13" l="1"/>
  <c r="K11" i="13" s="1"/>
  <c r="F32" i="13"/>
  <c r="I8" i="13"/>
  <c r="I11" i="13" s="1"/>
  <c r="I21" i="13"/>
  <c r="I19" i="13"/>
  <c r="S9" i="13"/>
  <c r="P8" i="13"/>
  <c r="P11" i="13" s="1"/>
  <c r="T10" i="13" s="1"/>
  <c r="F17" i="13"/>
  <c r="O8" i="13"/>
  <c r="O11" i="13" s="1"/>
  <c r="S10" i="13" s="1"/>
  <c r="W9" i="13"/>
  <c r="F27" i="13"/>
  <c r="T8" i="13"/>
  <c r="T11" i="13" s="1"/>
  <c r="P21" i="13"/>
  <c r="M9" i="13"/>
  <c r="L9" i="13"/>
  <c r="P10" i="13" s="1"/>
  <c r="U23" i="13"/>
  <c r="U27" i="13" s="1"/>
  <c r="I23" i="13"/>
  <c r="K20" i="13" s="1"/>
  <c r="X19" i="13"/>
  <c r="Q9" i="13"/>
  <c r="P19" i="13"/>
  <c r="T22" i="13"/>
  <c r="L22" i="13"/>
  <c r="X8" i="13"/>
  <c r="X11" i="13" s="1"/>
  <c r="X22" i="13"/>
  <c r="N22" i="13"/>
  <c r="M22" i="13"/>
  <c r="Q21" i="13"/>
  <c r="Q19" i="13"/>
  <c r="U8" i="13"/>
  <c r="U11" i="13" s="1"/>
  <c r="C20" i="13"/>
  <c r="C19" i="13"/>
  <c r="R22" i="13"/>
  <c r="F35" i="13"/>
  <c r="V22" i="13"/>
  <c r="U21" i="13"/>
  <c r="M21" i="13"/>
  <c r="U19" i="13"/>
  <c r="J22" i="13"/>
  <c r="T21" i="13"/>
  <c r="L21" i="13"/>
  <c r="V8" i="13"/>
  <c r="V11" i="13" s="1"/>
  <c r="V9" i="13"/>
  <c r="N8" i="13"/>
  <c r="N11" i="13" s="1"/>
  <c r="N9" i="13"/>
  <c r="J8" i="13"/>
  <c r="Z7" i="13"/>
  <c r="J9" i="13"/>
  <c r="Z60" i="13"/>
  <c r="R8" i="13"/>
  <c r="R11" i="13" s="1"/>
  <c r="R9" i="13"/>
  <c r="U10" i="13"/>
  <c r="F18" i="13"/>
  <c r="J23" i="13"/>
  <c r="N23" i="13"/>
  <c r="R23" i="13"/>
  <c r="V23" i="13"/>
  <c r="K23" i="13"/>
  <c r="O23" i="13"/>
  <c r="S23" i="13"/>
  <c r="W23" i="13"/>
  <c r="L23" i="13"/>
  <c r="P23" i="13"/>
  <c r="T23" i="13"/>
  <c r="X23" i="13"/>
  <c r="M23" i="13"/>
  <c r="Q23" i="13"/>
  <c r="W19" i="13"/>
  <c r="W21" i="13"/>
  <c r="W22" i="13"/>
  <c r="S19" i="13"/>
  <c r="S21" i="13"/>
  <c r="S22" i="13"/>
  <c r="O19" i="13"/>
  <c r="O21" i="13"/>
  <c r="O22" i="13"/>
  <c r="K19" i="13"/>
  <c r="K21" i="13"/>
  <c r="K22" i="13"/>
  <c r="Q10" i="13"/>
  <c r="U30" i="13"/>
  <c r="Z30" i="13" s="1"/>
  <c r="V21" i="13"/>
  <c r="R21" i="13"/>
  <c r="N21" i="13"/>
  <c r="J21" i="13"/>
  <c r="Z18" i="13"/>
  <c r="W20" i="13" l="1"/>
  <c r="I25" i="13"/>
  <c r="I27" i="13"/>
  <c r="I26" i="13"/>
  <c r="U25" i="13"/>
  <c r="U26" i="13"/>
  <c r="U24" i="13"/>
  <c r="I24" i="13"/>
  <c r="Z22" i="13"/>
  <c r="Z21" i="13"/>
  <c r="N20" i="13"/>
  <c r="L24" i="13"/>
  <c r="L26" i="13"/>
  <c r="L27" i="13"/>
  <c r="L25" i="13"/>
  <c r="J25" i="13"/>
  <c r="L20" i="13"/>
  <c r="J24" i="13"/>
  <c r="J26" i="13"/>
  <c r="J27" i="13"/>
  <c r="V25" i="13"/>
  <c r="X20" i="13"/>
  <c r="V24" i="13"/>
  <c r="V26" i="13"/>
  <c r="V27" i="13"/>
  <c r="J11" i="13"/>
  <c r="Z11" i="13" s="1"/>
  <c r="Z8" i="13"/>
  <c r="O20" i="13"/>
  <c r="M24" i="13"/>
  <c r="M26" i="13"/>
  <c r="M27" i="13"/>
  <c r="M25" i="13"/>
  <c r="K26" i="13"/>
  <c r="K27" i="13"/>
  <c r="K25" i="13"/>
  <c r="K24" i="13"/>
  <c r="M20" i="13"/>
  <c r="X24" i="13"/>
  <c r="X26" i="13"/>
  <c r="X27" i="13"/>
  <c r="X25" i="13"/>
  <c r="I12" i="13"/>
  <c r="V20" i="13"/>
  <c r="T24" i="13"/>
  <c r="T26" i="13"/>
  <c r="T27" i="13"/>
  <c r="T25" i="13"/>
  <c r="R25" i="13"/>
  <c r="T20" i="13"/>
  <c r="R24" i="13"/>
  <c r="R27" i="13"/>
  <c r="R26" i="13"/>
  <c r="N10" i="13"/>
  <c r="Z9" i="13"/>
  <c r="Z19" i="13"/>
  <c r="W26" i="13"/>
  <c r="W27" i="13"/>
  <c r="W25" i="13"/>
  <c r="W24" i="13"/>
  <c r="Z23" i="13"/>
  <c r="S26" i="13"/>
  <c r="S27" i="13"/>
  <c r="S25" i="13"/>
  <c r="U20" i="13"/>
  <c r="S24" i="13"/>
  <c r="S20" i="13"/>
  <c r="Q24" i="13"/>
  <c r="Q26" i="13"/>
  <c r="Q25" i="13"/>
  <c r="Q27" i="13"/>
  <c r="R20" i="13"/>
  <c r="P24" i="13"/>
  <c r="P26" i="13"/>
  <c r="P27" i="13"/>
  <c r="P25" i="13"/>
  <c r="O26" i="13"/>
  <c r="O27" i="13"/>
  <c r="O25" i="13"/>
  <c r="Q20" i="13"/>
  <c r="O24" i="13"/>
  <c r="N25" i="13"/>
  <c r="P20" i="13"/>
  <c r="N24" i="13"/>
  <c r="N27" i="13"/>
  <c r="N26" i="13"/>
  <c r="R10" i="13"/>
  <c r="Z50" i="13" l="1"/>
  <c r="Z25" i="13"/>
  <c r="Z20" i="13"/>
  <c r="Z27" i="13"/>
  <c r="Z26" i="13"/>
  <c r="Z10" i="13"/>
  <c r="I14" i="13"/>
  <c r="I13" i="13"/>
  <c r="J12" i="13"/>
  <c r="Z37" i="13"/>
  <c r="Z24" i="13"/>
  <c r="I15" i="13" l="1"/>
  <c r="I16" i="13"/>
  <c r="J13" i="13"/>
  <c r="K12" i="13"/>
  <c r="J14" i="13"/>
  <c r="J16" i="13" s="1"/>
  <c r="L69" i="13" l="1"/>
  <c r="J69" i="13"/>
  <c r="K69" i="13"/>
  <c r="M69" i="13"/>
  <c r="J33" i="13"/>
  <c r="K14" i="13"/>
  <c r="K16" i="13" s="1"/>
  <c r="K13" i="13"/>
  <c r="L12" i="13"/>
  <c r="J15" i="13"/>
  <c r="K15" i="13" l="1"/>
  <c r="L14" i="13"/>
  <c r="L13" i="13"/>
  <c r="M12" i="13"/>
  <c r="I69" i="13" l="1"/>
  <c r="L33" i="13"/>
  <c r="L16" i="13"/>
  <c r="Z39" i="13"/>
  <c r="M14" i="13"/>
  <c r="M13" i="13"/>
  <c r="N12" i="13"/>
  <c r="K33" i="13"/>
  <c r="L15" i="13"/>
  <c r="O69" i="13" l="1"/>
  <c r="K68" i="13"/>
  <c r="K67" i="13"/>
  <c r="N69" i="13"/>
  <c r="Z47" i="13"/>
  <c r="N13" i="13"/>
  <c r="O12" i="13"/>
  <c r="N14" i="13"/>
  <c r="M15" i="13"/>
  <c r="M16" i="13"/>
  <c r="O68" i="13"/>
  <c r="L66" i="13" l="1"/>
  <c r="I67" i="13"/>
  <c r="P68" i="13"/>
  <c r="J68" i="13"/>
  <c r="O67" i="13"/>
  <c r="N16" i="13"/>
  <c r="Z40" i="13"/>
  <c r="N68" i="13"/>
  <c r="N67" i="13"/>
  <c r="O14" i="13"/>
  <c r="O16" i="13" s="1"/>
  <c r="O13" i="13"/>
  <c r="P12" i="13"/>
  <c r="P69" i="13"/>
  <c r="L68" i="13"/>
  <c r="L67" i="13"/>
  <c r="N33" i="13"/>
  <c r="M68" i="13"/>
  <c r="M67" i="13"/>
  <c r="L61" i="13"/>
  <c r="L70" i="13" s="1"/>
  <c r="M33" i="13"/>
  <c r="N15" i="13"/>
  <c r="J67" i="13" l="1"/>
  <c r="I68" i="13"/>
  <c r="Z44" i="13"/>
  <c r="P14" i="13"/>
  <c r="P13" i="13"/>
  <c r="Q12" i="13"/>
  <c r="O33" i="13"/>
  <c r="Q69" i="13"/>
  <c r="J66" i="13"/>
  <c r="J61" i="13"/>
  <c r="J70" i="13" s="1"/>
  <c r="O15" i="13"/>
  <c r="N66" i="13"/>
  <c r="M66" i="13"/>
  <c r="N61" i="13"/>
  <c r="N70" i="13" s="1"/>
  <c r="Z43" i="13"/>
  <c r="K61" i="13"/>
  <c r="K70" i="13" s="1"/>
  <c r="K66" i="13"/>
  <c r="Q68" i="13"/>
  <c r="P67" i="13"/>
  <c r="O61" i="13" l="1"/>
  <c r="O70" i="13" s="1"/>
  <c r="R69" i="13"/>
  <c r="M61" i="13"/>
  <c r="M70" i="13" s="1"/>
  <c r="O66" i="13"/>
  <c r="Z55" i="13"/>
  <c r="I61" i="13"/>
  <c r="R12" i="13"/>
  <c r="Q14" i="13"/>
  <c r="Q16" i="13" s="1"/>
  <c r="Q13" i="13"/>
  <c r="I66" i="13"/>
  <c r="Q67" i="13"/>
  <c r="P33" i="13"/>
  <c r="P15" i="13"/>
  <c r="R68" i="13"/>
  <c r="P16" i="13"/>
  <c r="S68" i="13" l="1"/>
  <c r="Z41" i="13"/>
  <c r="Z38" i="13"/>
  <c r="R13" i="13"/>
  <c r="S12" i="13"/>
  <c r="R14" i="13"/>
  <c r="R16" i="13" s="1"/>
  <c r="R67" i="13"/>
  <c r="I70" i="13"/>
  <c r="X68" i="13"/>
  <c r="S69" i="13"/>
  <c r="P61" i="13"/>
  <c r="P70" i="13" s="1"/>
  <c r="Q33" i="13"/>
  <c r="T69" i="13"/>
  <c r="Q15" i="13"/>
  <c r="S67" i="13" l="1"/>
  <c r="R15" i="13"/>
  <c r="Q61" i="13"/>
  <c r="Q70" i="13" s="1"/>
  <c r="Q66" i="13"/>
  <c r="S14" i="13"/>
  <c r="S13" i="13"/>
  <c r="T12" i="13"/>
  <c r="R33" i="13"/>
  <c r="I71" i="13"/>
  <c r="J71" i="13" s="1"/>
  <c r="K71" i="13" s="1"/>
  <c r="L71" i="13" s="1"/>
  <c r="M71" i="13" s="1"/>
  <c r="N71" i="13" s="1"/>
  <c r="O71" i="13" s="1"/>
  <c r="P71" i="13" s="1"/>
  <c r="X69" i="13"/>
  <c r="Z32" i="13"/>
  <c r="X33" i="13"/>
  <c r="P66" i="13"/>
  <c r="Z48" i="13"/>
  <c r="T68" i="13"/>
  <c r="X67" i="13"/>
  <c r="W33" i="13"/>
  <c r="T67" i="13" l="1"/>
  <c r="U12" i="13"/>
  <c r="T14" i="13"/>
  <c r="T16" i="13" s="1"/>
  <c r="T13" i="13"/>
  <c r="S15" i="13"/>
  <c r="Q71" i="13"/>
  <c r="W66" i="13"/>
  <c r="Z45" i="13"/>
  <c r="U68" i="13"/>
  <c r="S16" i="13"/>
  <c r="X66" i="13"/>
  <c r="R61" i="13"/>
  <c r="R70" i="13" s="1"/>
  <c r="Z49" i="13"/>
  <c r="U67" i="13" l="1"/>
  <c r="Z58" i="13"/>
  <c r="W69" i="13"/>
  <c r="R71" i="13"/>
  <c r="V68" i="13"/>
  <c r="T33" i="13"/>
  <c r="U69" i="13"/>
  <c r="U14" i="13"/>
  <c r="U13" i="13"/>
  <c r="Z12" i="13"/>
  <c r="R66" i="13"/>
  <c r="S33" i="13"/>
  <c r="W68" i="13"/>
  <c r="X61" i="13"/>
  <c r="X70" i="13" s="1"/>
  <c r="V69" i="13"/>
  <c r="T15" i="13"/>
  <c r="W61" i="13" l="1"/>
  <c r="W70" i="13" s="1"/>
  <c r="Z69" i="13"/>
  <c r="V67" i="13"/>
  <c r="Z68" i="13"/>
  <c r="U15" i="13"/>
  <c r="Z15" i="13" s="1"/>
  <c r="Z13" i="13"/>
  <c r="T61" i="13"/>
  <c r="T70" i="13" s="1"/>
  <c r="T66" i="13"/>
  <c r="U16" i="13"/>
  <c r="Z16" i="13" s="1"/>
  <c r="Z14" i="13"/>
  <c r="Z51" i="13"/>
  <c r="Z56" i="13"/>
  <c r="U33" i="13"/>
  <c r="W67" i="13"/>
  <c r="Z67" i="13" l="1"/>
  <c r="V33" i="13"/>
  <c r="Z31" i="13"/>
  <c r="Z33" i="13" s="1"/>
  <c r="S66" i="13"/>
  <c r="U61" i="13"/>
  <c r="U70" i="13" s="1"/>
  <c r="U66" i="13"/>
  <c r="S61" i="13"/>
  <c r="S70" i="13" l="1"/>
  <c r="V61" i="13"/>
  <c r="V70" i="13" s="1"/>
  <c r="V66" i="13"/>
  <c r="Z66" i="13" s="1"/>
  <c r="Z59" i="13" l="1"/>
  <c r="Z61" i="13"/>
  <c r="Z70" i="13"/>
  <c r="S71" i="13"/>
  <c r="T71" i="13" s="1"/>
  <c r="U71" i="13" s="1"/>
  <c r="V71" i="13" s="1"/>
  <c r="W71" i="13" s="1"/>
  <c r="X71" i="13" s="1"/>
  <c r="I75" i="13" l="1"/>
  <c r="I73" i="13"/>
  <c r="Z47" i="10" l="1"/>
  <c r="Y47" i="10"/>
  <c r="Z46" i="10"/>
  <c r="Y46" i="10"/>
  <c r="T24" i="10"/>
  <c r="S24" i="10"/>
  <c r="R24" i="10"/>
  <c r="Q24" i="10"/>
  <c r="P24" i="10"/>
  <c r="O24" i="10"/>
  <c r="N24" i="10"/>
  <c r="M24" i="10"/>
  <c r="L24" i="10"/>
  <c r="K24" i="10"/>
  <c r="J24" i="10"/>
  <c r="I24" i="10"/>
  <c r="I22" i="10"/>
  <c r="T19" i="10"/>
  <c r="S19" i="10"/>
  <c r="R19" i="10"/>
  <c r="Q19" i="10"/>
  <c r="P19" i="10"/>
  <c r="O19" i="10"/>
  <c r="N19" i="10"/>
  <c r="M19" i="10"/>
  <c r="L19" i="10"/>
  <c r="K19" i="10"/>
  <c r="J19" i="10"/>
  <c r="T18" i="10"/>
  <c r="S18" i="10"/>
  <c r="R18" i="10"/>
  <c r="Q18" i="10"/>
  <c r="P18" i="10"/>
  <c r="O18" i="10"/>
  <c r="N18" i="10"/>
  <c r="M18" i="10"/>
  <c r="L18" i="10"/>
  <c r="K18" i="10"/>
  <c r="J18" i="10"/>
  <c r="I18" i="10"/>
  <c r="C18" i="10"/>
  <c r="T13" i="10"/>
  <c r="T34" i="10" s="1"/>
  <c r="S13" i="10"/>
  <c r="S34" i="10" s="1"/>
  <c r="R13" i="10"/>
  <c r="Q13" i="10"/>
  <c r="P13" i="10"/>
  <c r="O13" i="10"/>
  <c r="O34" i="10" s="1"/>
  <c r="N13" i="10"/>
  <c r="M13" i="10"/>
  <c r="L13" i="10"/>
  <c r="L34" i="10" s="1"/>
  <c r="K13" i="10"/>
  <c r="K34" i="10" s="1"/>
  <c r="J13" i="10"/>
  <c r="I13" i="10"/>
  <c r="F9" i="10"/>
  <c r="C8" i="10"/>
  <c r="C13" i="10" s="1"/>
  <c r="T7" i="10"/>
  <c r="T9" i="10" s="1"/>
  <c r="T30" i="10" s="1"/>
  <c r="S7" i="10"/>
  <c r="S9" i="10" s="1"/>
  <c r="S29" i="10" s="1"/>
  <c r="R7" i="10"/>
  <c r="Q7" i="10"/>
  <c r="Q8" i="10" s="1"/>
  <c r="P7" i="10"/>
  <c r="P9" i="10" s="1"/>
  <c r="P29" i="10" s="1"/>
  <c r="O7" i="10"/>
  <c r="O9" i="10" s="1"/>
  <c r="O29" i="10" s="1"/>
  <c r="N7" i="10"/>
  <c r="N9" i="10" s="1"/>
  <c r="M7" i="10"/>
  <c r="M26" i="10" s="1"/>
  <c r="L7" i="10"/>
  <c r="L9" i="10" s="1"/>
  <c r="L30" i="10" s="1"/>
  <c r="K7" i="10"/>
  <c r="K9" i="10" s="1"/>
  <c r="K29" i="10" s="1"/>
  <c r="J7" i="10"/>
  <c r="I7" i="10"/>
  <c r="I8" i="10" s="1"/>
  <c r="I27" i="10" s="1"/>
  <c r="V5" i="10"/>
  <c r="L15" i="10" l="1"/>
  <c r="P8" i="10"/>
  <c r="P28" i="10" s="1"/>
  <c r="P26" i="10"/>
  <c r="M10" i="10"/>
  <c r="Q9" i="10"/>
  <c r="Q30" i="10" s="1"/>
  <c r="P14" i="10"/>
  <c r="P35" i="10" s="1"/>
  <c r="L8" i="10"/>
  <c r="L27" i="10" s="1"/>
  <c r="V19" i="10"/>
  <c r="Q27" i="10"/>
  <c r="Q28" i="10"/>
  <c r="V7" i="10"/>
  <c r="S8" i="10"/>
  <c r="S28" i="10" s="1"/>
  <c r="M9" i="10"/>
  <c r="Q10" i="10"/>
  <c r="T14" i="10"/>
  <c r="T35" i="10" s="1"/>
  <c r="P15" i="10"/>
  <c r="K26" i="10"/>
  <c r="I28" i="10"/>
  <c r="K30" i="10"/>
  <c r="P34" i="10"/>
  <c r="F8" i="10"/>
  <c r="F13" i="10" s="1"/>
  <c r="M8" i="10"/>
  <c r="T8" i="10"/>
  <c r="T27" i="10" s="1"/>
  <c r="I15" i="10"/>
  <c r="M15" i="10"/>
  <c r="Q15" i="10"/>
  <c r="L14" i="10"/>
  <c r="L35" i="10" s="1"/>
  <c r="K15" i="10"/>
  <c r="S15" i="10"/>
  <c r="L26" i="10"/>
  <c r="Q26" i="10"/>
  <c r="O30" i="10"/>
  <c r="T15" i="10"/>
  <c r="M14" i="10"/>
  <c r="M35" i="10" s="1"/>
  <c r="S26" i="10"/>
  <c r="S30" i="10"/>
  <c r="K8" i="10"/>
  <c r="K28" i="10" s="1"/>
  <c r="I9" i="10"/>
  <c r="I30" i="10" s="1"/>
  <c r="I10" i="10"/>
  <c r="I11" i="10" s="1"/>
  <c r="O15" i="10"/>
  <c r="I26" i="10"/>
  <c r="O26" i="10"/>
  <c r="T26" i="10"/>
  <c r="P27" i="10"/>
  <c r="T29" i="10"/>
  <c r="L10" i="10"/>
  <c r="T10" i="10"/>
  <c r="V13" i="10"/>
  <c r="P30" i="10"/>
  <c r="J26" i="10"/>
  <c r="J8" i="10"/>
  <c r="J9" i="10"/>
  <c r="N15" i="10"/>
  <c r="N14" i="10"/>
  <c r="N35" i="10" s="1"/>
  <c r="N34" i="10"/>
  <c r="N30" i="10"/>
  <c r="N29" i="10"/>
  <c r="L29" i="10"/>
  <c r="S10" i="10"/>
  <c r="O10" i="10"/>
  <c r="K10" i="10"/>
  <c r="N10" i="10"/>
  <c r="J10" i="10"/>
  <c r="R10" i="10"/>
  <c r="I34" i="10"/>
  <c r="Q34" i="10"/>
  <c r="N26" i="10"/>
  <c r="N8" i="10"/>
  <c r="R26" i="10"/>
  <c r="R8" i="10"/>
  <c r="R9" i="10"/>
  <c r="J15" i="10"/>
  <c r="J34" i="10"/>
  <c r="J14" i="10"/>
  <c r="J35" i="10" s="1"/>
  <c r="R15" i="10"/>
  <c r="R34" i="10"/>
  <c r="R14" i="10"/>
  <c r="R35" i="10" s="1"/>
  <c r="I14" i="10"/>
  <c r="Q14" i="10"/>
  <c r="Q35" i="10" s="1"/>
  <c r="O8" i="10"/>
  <c r="P10" i="10"/>
  <c r="M34" i="10"/>
  <c r="K14" i="10"/>
  <c r="K35" i="10" s="1"/>
  <c r="O14" i="10"/>
  <c r="O35" i="10" s="1"/>
  <c r="S14" i="10"/>
  <c r="S35" i="10" s="1"/>
  <c r="O16" i="10" l="1"/>
  <c r="P16" i="10"/>
  <c r="Q16" i="10"/>
  <c r="R21" i="10" s="1"/>
  <c r="J16" i="10"/>
  <c r="T16" i="10"/>
  <c r="Q29" i="10"/>
  <c r="T28" i="10"/>
  <c r="V26" i="10"/>
  <c r="L28" i="10"/>
  <c r="I29" i="10"/>
  <c r="V8" i="10"/>
  <c r="J11" i="10"/>
  <c r="I16" i="10"/>
  <c r="I31" i="10"/>
  <c r="K27" i="10"/>
  <c r="R16" i="10"/>
  <c r="L16" i="10"/>
  <c r="M16" i="10"/>
  <c r="J20" i="10"/>
  <c r="M27" i="10"/>
  <c r="M28" i="10"/>
  <c r="S27" i="10"/>
  <c r="K16" i="10"/>
  <c r="S16" i="10"/>
  <c r="N16" i="10"/>
  <c r="M30" i="10"/>
  <c r="M29" i="10"/>
  <c r="V15" i="10"/>
  <c r="V10" i="10"/>
  <c r="N28" i="10"/>
  <c r="N27" i="10"/>
  <c r="O28" i="10"/>
  <c r="O27" i="10"/>
  <c r="I35" i="10"/>
  <c r="V14" i="10"/>
  <c r="R30" i="10"/>
  <c r="R29" i="10"/>
  <c r="J30" i="10"/>
  <c r="J29" i="10"/>
  <c r="J27" i="10"/>
  <c r="J28" i="10"/>
  <c r="V9" i="10"/>
  <c r="R27" i="10"/>
  <c r="R28" i="10"/>
  <c r="V34" i="10"/>
  <c r="P37" i="10" l="1"/>
  <c r="P21" i="10"/>
  <c r="Q37" i="10"/>
  <c r="O36" i="10"/>
  <c r="Q21" i="10"/>
  <c r="O37" i="10"/>
  <c r="M21" i="10"/>
  <c r="Q36" i="10"/>
  <c r="J36" i="10"/>
  <c r="T36" i="10"/>
  <c r="M37" i="10"/>
  <c r="W26" i="10"/>
  <c r="K21" i="10"/>
  <c r="J37" i="10"/>
  <c r="L37" i="10"/>
  <c r="T37" i="10"/>
  <c r="I32" i="10"/>
  <c r="I41" i="10" s="1"/>
  <c r="P36" i="10"/>
  <c r="S21" i="10"/>
  <c r="K20" i="10"/>
  <c r="R37" i="10"/>
  <c r="J21" i="10"/>
  <c r="J22" i="10" s="1"/>
  <c r="I37" i="10"/>
  <c r="I36" i="10"/>
  <c r="I38" i="10" s="1"/>
  <c r="K11" i="10"/>
  <c r="R36" i="10"/>
  <c r="S36" i="10"/>
  <c r="J31" i="10"/>
  <c r="K36" i="10"/>
  <c r="M36" i="10"/>
  <c r="W34" i="10"/>
  <c r="V16" i="10"/>
  <c r="L36" i="10"/>
  <c r="N21" i="10"/>
  <c r="V29" i="10"/>
  <c r="W29" i="10" s="1"/>
  <c r="N37" i="10"/>
  <c r="O21" i="10"/>
  <c r="V30" i="10"/>
  <c r="S37" i="10"/>
  <c r="T21" i="10"/>
  <c r="N36" i="10"/>
  <c r="K37" i="10"/>
  <c r="L21" i="10"/>
  <c r="V35" i="10"/>
  <c r="V27" i="10"/>
  <c r="V28" i="10"/>
  <c r="O38" i="10" l="1"/>
  <c r="O42" i="10" s="1"/>
  <c r="Q38" i="10"/>
  <c r="Q42" i="10" s="1"/>
  <c r="K22" i="10"/>
  <c r="T38" i="10"/>
  <c r="T42" i="10" s="1"/>
  <c r="I39" i="10"/>
  <c r="I43" i="10" s="1"/>
  <c r="I42" i="10"/>
  <c r="J38" i="10"/>
  <c r="J42" i="10" s="1"/>
  <c r="K31" i="10"/>
  <c r="K32" i="10" s="1"/>
  <c r="K41" i="10" s="1"/>
  <c r="L20" i="10"/>
  <c r="L22" i="10" s="1"/>
  <c r="M38" i="10"/>
  <c r="M42" i="10" s="1"/>
  <c r="P38" i="10"/>
  <c r="P42" i="10" s="1"/>
  <c r="L11" i="10"/>
  <c r="J32" i="10"/>
  <c r="J41" i="10" s="1"/>
  <c r="S38" i="10"/>
  <c r="S42" i="10" s="1"/>
  <c r="V37" i="10"/>
  <c r="R38" i="10"/>
  <c r="R42" i="10" s="1"/>
  <c r="V21" i="10"/>
  <c r="L38" i="10"/>
  <c r="L42" i="10" s="1"/>
  <c r="V36" i="10"/>
  <c r="N38" i="10"/>
  <c r="N42" i="10" s="1"/>
  <c r="K38" i="10"/>
  <c r="K42" i="10" s="1"/>
  <c r="W37" i="10" l="1"/>
  <c r="J39" i="10"/>
  <c r="J43" i="10" s="1"/>
  <c r="K39" i="10"/>
  <c r="K43" i="10" s="1"/>
  <c r="M20" i="10"/>
  <c r="M22" i="10" s="1"/>
  <c r="M11" i="10"/>
  <c r="L31" i="10"/>
  <c r="V38" i="10"/>
  <c r="W38" i="10" s="1"/>
  <c r="W36" i="10"/>
  <c r="L32" i="10" l="1"/>
  <c r="M31" i="10"/>
  <c r="N20" i="10"/>
  <c r="N22" i="10" s="1"/>
  <c r="N11" i="10"/>
  <c r="L39" i="10" l="1"/>
  <c r="L43" i="10" s="1"/>
  <c r="L41" i="10"/>
  <c r="M32" i="10"/>
  <c r="O11" i="10"/>
  <c r="O20" i="10"/>
  <c r="O22" i="10" s="1"/>
  <c r="N31" i="10"/>
  <c r="M39" i="10" l="1"/>
  <c r="M43" i="10" s="1"/>
  <c r="M41" i="10"/>
  <c r="V42" i="10"/>
  <c r="F29" i="10" s="1"/>
  <c r="N32" i="10"/>
  <c r="P20" i="10"/>
  <c r="P22" i="10" s="1"/>
  <c r="O31" i="10"/>
  <c r="P11" i="10"/>
  <c r="N39" i="10" l="1"/>
  <c r="N43" i="10" s="1"/>
  <c r="N41" i="10"/>
  <c r="O32" i="10"/>
  <c r="W42" i="10"/>
  <c r="Q20" i="10"/>
  <c r="Q22" i="10" s="1"/>
  <c r="Q11" i="10"/>
  <c r="P31" i="10"/>
  <c r="O39" i="10" l="1"/>
  <c r="O43" i="10" s="1"/>
  <c r="O41" i="10"/>
  <c r="P32" i="10"/>
  <c r="Q31" i="10"/>
  <c r="R20" i="10"/>
  <c r="R22" i="10" s="1"/>
  <c r="R11" i="10"/>
  <c r="P39" i="10" l="1"/>
  <c r="P43" i="10" s="1"/>
  <c r="P41" i="10"/>
  <c r="Q32" i="10"/>
  <c r="R31" i="10"/>
  <c r="S11" i="10"/>
  <c r="S20" i="10"/>
  <c r="S22" i="10" s="1"/>
  <c r="Q39" i="10" l="1"/>
  <c r="Q43" i="10" s="1"/>
  <c r="Q41" i="10"/>
  <c r="R32" i="10"/>
  <c r="T20" i="10"/>
  <c r="S31" i="10"/>
  <c r="T11" i="10"/>
  <c r="R39" i="10" l="1"/>
  <c r="R43" i="10" s="1"/>
  <c r="R41" i="10"/>
  <c r="S32" i="10"/>
  <c r="T31" i="10"/>
  <c r="T22" i="10"/>
  <c r="V20" i="10"/>
  <c r="V22" i="10" s="1"/>
  <c r="S39" i="10" l="1"/>
  <c r="S43" i="10" s="1"/>
  <c r="S41" i="10"/>
  <c r="T32" i="10"/>
  <c r="T41" i="10" s="1"/>
  <c r="V31" i="10"/>
  <c r="V32" i="10" l="1"/>
  <c r="W32" i="10" s="1"/>
  <c r="W31" i="10"/>
  <c r="T39" i="10"/>
  <c r="T43" i="10" s="1"/>
  <c r="V41" i="10" l="1"/>
  <c r="V39" i="10"/>
  <c r="W39" i="10" s="1"/>
  <c r="W41" i="10" l="1"/>
  <c r="C29" i="10"/>
  <c r="V43" i="10"/>
  <c r="I44" i="10"/>
  <c r="J44" i="10" s="1"/>
  <c r="K44" i="10" s="1"/>
  <c r="L44" i="10" s="1"/>
  <c r="M44" i="10" s="1"/>
  <c r="N44" i="10" s="1"/>
  <c r="O44" i="10" s="1"/>
  <c r="P44" i="10" s="1"/>
  <c r="Q44" i="10" s="1"/>
  <c r="R44" i="10" s="1"/>
  <c r="S44" i="10" s="1"/>
  <c r="T44" i="10" s="1"/>
  <c r="W4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tc={086175FB-5BA9-7540-B2CC-22A96BD8C187}</author>
    <author>tc={2EA6B8CC-D67B-3B43-BB56-A074A5F91BD0}</author>
  </authors>
  <commentList>
    <comment ref="F13" authorId="0" shapeId="0" xr:uid="{086175FB-5BA9-7540-B2CC-22A96BD8C187}">
      <text>
        <t>[Threaded comment]
Your version of Excel allows you to read this threaded comment; however, any edits to it will get removed if the file is opened in a newer version of Excel. Learn more: https://go.microsoft.com/fwlink/?linkid=870924
Comment:
    3% are expected to be cirrhotic but the study will have a higher % of cirrhotics due to the lost cost and free screening.</t>
      </text>
    </comment>
    <comment ref="F14" authorId="1" shapeId="0" xr:uid="{2EA6B8CC-D67B-3B43-BB56-A074A5F91BD0}">
      <text>
        <t>[Threaded comment]
Your version of Excel allows you to read this threaded comment; however, any edits to it will get removed if the file is opened in a newer version of Excel. Learn more: https://go.microsoft.com/fwlink/?linkid=870924
Comment:
    Assumed 95% of pts get blood draw, 90% see a doctor, 95% get prescription (3% cirrhotic and 2% refuse) and 80% fill their Rx</t>
      </text>
    </comment>
  </commentList>
</comments>
</file>

<file path=xl/sharedStrings.xml><?xml version="1.0" encoding="utf-8"?>
<sst xmlns="http://schemas.openxmlformats.org/spreadsheetml/2006/main" count="345" uniqueCount="213">
  <si>
    <t>Cash Flow Statement - Pilot Hepatitis Elimination Program (Uzbekistan)</t>
  </si>
  <si>
    <t>Forecast</t>
  </si>
  <si>
    <t>HBV INPUTS</t>
  </si>
  <si>
    <t>HCV INPUTS</t>
  </si>
  <si>
    <t>Q4 2018</t>
  </si>
  <si>
    <t>Q1 2019</t>
  </si>
  <si>
    <t>Q2 2019</t>
  </si>
  <si>
    <t>Q3 2019</t>
  </si>
  <si>
    <t>Q4 2019</t>
  </si>
  <si>
    <t>Q1 2020</t>
  </si>
  <si>
    <t>Q2 2020</t>
  </si>
  <si>
    <t>Q3 2020</t>
  </si>
  <si>
    <t>Q4 2020</t>
  </si>
  <si>
    <t>Q1 2021</t>
  </si>
  <si>
    <t>Q2 2021</t>
  </si>
  <si>
    <t>Q3 2021</t>
  </si>
  <si>
    <t>Q4 2021</t>
  </si>
  <si>
    <t>Q1 2022</t>
  </si>
  <si>
    <t>Q2 2022</t>
  </si>
  <si>
    <t>Q3 2022</t>
  </si>
  <si>
    <t>Total</t>
  </si>
  <si>
    <t>Uptake</t>
  </si>
  <si>
    <t>Population Inputs</t>
  </si>
  <si>
    <t>HBV</t>
  </si>
  <si>
    <t>Total population</t>
  </si>
  <si>
    <t>Number screened</t>
  </si>
  <si>
    <t>HBV prevalence</t>
  </si>
  <si>
    <t>Adult HCV prevalence</t>
  </si>
  <si>
    <t>Number of creatinine tests</t>
  </si>
  <si>
    <t>Total HBV infected</t>
  </si>
  <si>
    <t>Total HCV infected</t>
  </si>
  <si>
    <t>Number of HIV tests</t>
  </si>
  <si>
    <t>PoC Dx - % False Positive</t>
  </si>
  <si>
    <t>Annual follow up tests</t>
  </si>
  <si>
    <t>Total who test HBsAg+</t>
  </si>
  <si>
    <t>Total who test HCV+</t>
  </si>
  <si>
    <t>Number treated - incremental</t>
  </si>
  <si>
    <t>% with renal failure</t>
  </si>
  <si>
    <t>Viremic rate</t>
  </si>
  <si>
    <t>Number treated - total</t>
  </si>
  <si>
    <t>% HIV+</t>
  </si>
  <si>
    <t>% with Cirrhosis</t>
  </si>
  <si>
    <t>Number Tx - who can pay</t>
  </si>
  <si>
    <t>% HDV+</t>
  </si>
  <si>
    <t>% of patients linked to care</t>
  </si>
  <si>
    <t>Number Tx - subsidized</t>
  </si>
  <si>
    <t>% high VL or cirrhotic</t>
  </si>
  <si>
    <t>Total patients treated</t>
  </si>
  <si>
    <t>Number of bottles - who can pay</t>
  </si>
  <si>
    <t>% of patients who can pay</t>
  </si>
  <si>
    <t>Number of bottles - who can't pay</t>
  </si>
  <si>
    <t>Number of patients who can pay</t>
  </si>
  <si>
    <t>HCV</t>
  </si>
  <si>
    <t>Number of patients who can't  pay</t>
  </si>
  <si>
    <t>Number of RNA test</t>
  </si>
  <si>
    <t>Number of patients who can't pay</t>
  </si>
  <si>
    <t>Number of SVR RNA test</t>
  </si>
  <si>
    <t>Number of ALT/AST/Platelet</t>
  </si>
  <si>
    <t>Fees</t>
  </si>
  <si>
    <t>GPRO fee</t>
  </si>
  <si>
    <t>Number treated</t>
  </si>
  <si>
    <t>Number Tx - who can pay w/o cirrhosis</t>
  </si>
  <si>
    <t>Laboratory fee</t>
  </si>
  <si>
    <t>Number Tx - subsidized w/o cirrhosis</t>
  </si>
  <si>
    <t>Pharmacy fee</t>
  </si>
  <si>
    <t>Number Tx - who can pay w cirrhosis</t>
  </si>
  <si>
    <t>Custom's fee (medicine)</t>
  </si>
  <si>
    <t>Number Tx - subsidized w cirrhosis</t>
  </si>
  <si>
    <t>Custom's fee (humanitarian)</t>
  </si>
  <si>
    <t>Bank fee (exchange exposure)</t>
  </si>
  <si>
    <t>Income</t>
  </si>
  <si>
    <t>Catalytic funding</t>
  </si>
  <si>
    <t>Program income - HBV</t>
  </si>
  <si>
    <t>Patient Payment (monthly)</t>
  </si>
  <si>
    <t>Program income - HCV</t>
  </si>
  <si>
    <t>Patient Payment (3 months)</t>
  </si>
  <si>
    <t>Patient Payment - w/o cirrhosis</t>
  </si>
  <si>
    <t>Total Income</t>
  </si>
  <si>
    <t>Patient Payment (annual)</t>
  </si>
  <si>
    <t>Patient Payment - w cirrhosis</t>
  </si>
  <si>
    <t>Pt Payment (annual) - Calcd</t>
  </si>
  <si>
    <t>Supply Expenses</t>
  </si>
  <si>
    <t>Pt Payment (annual) - UZS</t>
  </si>
  <si>
    <t>Screening test</t>
  </si>
  <si>
    <t>Creatinine test</t>
  </si>
  <si>
    <t>Loan</t>
  </si>
  <si>
    <t>HIV test</t>
  </si>
  <si>
    <t>Average GNI Per Capita</t>
  </si>
  <si>
    <t>Loan Interest</t>
  </si>
  <si>
    <t>Treatment</t>
  </si>
  <si>
    <t>Per Capita Consumption (Lowest)</t>
  </si>
  <si>
    <t>Loan duration (yrs)</t>
  </si>
  <si>
    <t>HBV Supply Expenses</t>
  </si>
  <si>
    <t>Household Size</t>
  </si>
  <si>
    <t>CHE Limit - Household</t>
  </si>
  <si>
    <t>Household Income (Lowest 20%)</t>
  </si>
  <si>
    <t>Exchange Rate (UZS to USD)</t>
  </si>
  <si>
    <t>RNA test</t>
  </si>
  <si>
    <t>AST/Platelet/Creatinine</t>
  </si>
  <si>
    <t>Treatment - w/o cirrhosis</t>
  </si>
  <si>
    <t>Treatment - w/ cirrhosis</t>
  </si>
  <si>
    <t>HCV Supply Expenses</t>
  </si>
  <si>
    <t>Disposables</t>
  </si>
  <si>
    <t>Total Supply Expenses</t>
  </si>
  <si>
    <t>One-Time Charges</t>
  </si>
  <si>
    <t>Custom's fee</t>
  </si>
  <si>
    <t>Bank fee</t>
  </si>
  <si>
    <t>Bond interest</t>
  </si>
  <si>
    <t>Total Fees</t>
  </si>
  <si>
    <t>Total HBV Fees</t>
  </si>
  <si>
    <t>Total HCV Fees - w/o cirrhosis</t>
  </si>
  <si>
    <t>Total HCV Fees - w/ cirrhosis</t>
  </si>
  <si>
    <t>Total Expenses - HBV</t>
  </si>
  <si>
    <t>Total Expenses - HCV</t>
  </si>
  <si>
    <t>Total Expenses - HCV w/o cirrhosis</t>
  </si>
  <si>
    <t>Total Expenses - HCV w/ cirrhosis</t>
  </si>
  <si>
    <t>Total Expenses</t>
  </si>
  <si>
    <t>Cumulative Cash Flow</t>
  </si>
  <si>
    <t>Catalytic Ratio</t>
  </si>
  <si>
    <t>Cost</t>
  </si>
  <si>
    <t>Screening</t>
  </si>
  <si>
    <t>USD</t>
  </si>
  <si>
    <t>Gov't programs</t>
  </si>
  <si>
    <t>Yr 1</t>
  </si>
  <si>
    <t>Yr 2</t>
  </si>
  <si>
    <t>Yr 3</t>
  </si>
  <si>
    <t>Yr 4</t>
  </si>
  <si>
    <t>Yr 5</t>
  </si>
  <si>
    <t>Yr 6</t>
  </si>
  <si>
    <t>Yr 7</t>
  </si>
  <si>
    <t>Yr 8</t>
  </si>
  <si>
    <t>Yr 9</t>
  </si>
  <si>
    <t>Yr 10</t>
  </si>
  <si>
    <t>Yr 11</t>
  </si>
  <si>
    <t>Yr 12</t>
  </si>
  <si>
    <t>Number w/ confirmatory test</t>
  </si>
  <si>
    <t>Number w/ viremic test</t>
  </si>
  <si>
    <t>% High VL or Cirrhotic</t>
  </si>
  <si>
    <t>Tx Cost per patient (per month)</t>
  </si>
  <si>
    <t>Tx Cost per patient</t>
  </si>
  <si>
    <t>Confirmatory test</t>
  </si>
  <si>
    <t>HDV test</t>
  </si>
  <si>
    <t>Viremic test</t>
  </si>
  <si>
    <t>Liver staging test</t>
  </si>
  <si>
    <t>Viral load test</t>
  </si>
  <si>
    <t>Screening kits</t>
  </si>
  <si>
    <t>Confirmatory test reagents</t>
  </si>
  <si>
    <t xml:space="preserve">Viral load reagent </t>
  </si>
  <si>
    <t xml:space="preserve">Viremic test reagent </t>
  </si>
  <si>
    <t>Patient Payment</t>
  </si>
  <si>
    <t>Pt Payment - Calculated</t>
  </si>
  <si>
    <t>Low</t>
  </si>
  <si>
    <t>High</t>
  </si>
  <si>
    <t>Exchange rate (UZS/USD)</t>
  </si>
  <si>
    <t>Two costs are estimated:  the High estimate (cell Z76) is based on prices of tests and medicines in the private market; the Low estimate (cell Y76) is based on public market prices.  All prices were as of 2019 when the model was created.</t>
  </si>
  <si>
    <t>Current Guidelines, Market Pricing 
(Fall 2019)</t>
  </si>
  <si>
    <t>Hepatitis B</t>
  </si>
  <si>
    <r>
      <t xml:space="preserve">Free </t>
    </r>
    <r>
      <rPr>
        <vertAlign val="superscript"/>
        <sz val="10"/>
        <color rgb="FF000000"/>
        <rFont val="Calibri"/>
        <family val="2"/>
        <scheme val="minor"/>
      </rPr>
      <t>1</t>
    </r>
    <r>
      <rPr>
        <sz val="10"/>
        <color rgb="FF000000"/>
        <rFont val="Calibri"/>
        <family val="2"/>
        <scheme val="minor"/>
      </rPr>
      <t xml:space="preserve"> </t>
    </r>
  </si>
  <si>
    <r>
      <t>1</t>
    </r>
    <r>
      <rPr>
        <sz val="10"/>
        <color rgb="FF000000"/>
        <rFont val="Calibri"/>
        <family val="2"/>
        <scheme val="minor"/>
      </rPr>
      <t>HBsAg RDT</t>
    </r>
  </si>
  <si>
    <t>Laboratory Tests</t>
  </si>
  <si>
    <r>
      <t xml:space="preserve"> Free </t>
    </r>
    <r>
      <rPr>
        <vertAlign val="superscript"/>
        <sz val="10"/>
        <color rgb="FF000000"/>
        <rFont val="Calibri"/>
        <family val="2"/>
        <scheme val="minor"/>
      </rPr>
      <t>2b</t>
    </r>
    <r>
      <rPr>
        <sz val="10"/>
        <color rgb="FF000000"/>
        <rFont val="Calibri"/>
        <family val="2"/>
        <scheme val="minor"/>
      </rPr>
      <t xml:space="preserve"> </t>
    </r>
  </si>
  <si>
    <r>
      <t>2a</t>
    </r>
    <r>
      <rPr>
        <sz val="10"/>
        <color rgb="FF000000"/>
        <rFont val="Calibri"/>
        <family val="2"/>
        <scheme val="minor"/>
      </rPr>
      <t xml:space="preserve"> HBV Elisa, Quan-PCR, Viral Load, Seromarkers, Liver-staging
</t>
    </r>
    <r>
      <rPr>
        <vertAlign val="superscript"/>
        <sz val="10"/>
        <color rgb="FF000000"/>
        <rFont val="Calibri"/>
        <family val="2"/>
        <scheme val="minor"/>
      </rPr>
      <t>2b</t>
    </r>
    <r>
      <rPr>
        <sz val="10"/>
        <color rgb="FF000000"/>
        <rFont val="Calibri"/>
        <family val="2"/>
        <scheme val="minor"/>
      </rPr>
      <t xml:space="preserve"> HIV RDT, HIV, Creatinine</t>
    </r>
  </si>
  <si>
    <r>
      <t>3</t>
    </r>
    <r>
      <rPr>
        <sz val="10"/>
        <color rgb="FF000000"/>
        <rFont val="Calibri"/>
        <family val="2"/>
        <scheme val="minor"/>
      </rPr>
      <t xml:space="preserve"> TDF</t>
    </r>
  </si>
  <si>
    <t>Hepatitis C</t>
  </si>
  <si>
    <r>
      <t xml:space="preserve">Free </t>
    </r>
    <r>
      <rPr>
        <vertAlign val="superscript"/>
        <sz val="10"/>
        <color rgb="FF000000"/>
        <rFont val="Calibri"/>
        <family val="2"/>
        <scheme val="minor"/>
      </rPr>
      <t>4</t>
    </r>
  </si>
  <si>
    <r>
      <t xml:space="preserve">4 </t>
    </r>
    <r>
      <rPr>
        <sz val="10"/>
        <color rgb="FF000000"/>
        <rFont val="Calibri"/>
        <family val="2"/>
        <scheme val="minor"/>
      </rPr>
      <t>anti HCV RDT</t>
    </r>
  </si>
  <si>
    <r>
      <t xml:space="preserve"> Free </t>
    </r>
    <r>
      <rPr>
        <vertAlign val="superscript"/>
        <sz val="10"/>
        <color rgb="FF000000"/>
        <rFont val="Calibri"/>
        <family val="2"/>
        <scheme val="minor"/>
      </rPr>
      <t>5b</t>
    </r>
    <r>
      <rPr>
        <sz val="10"/>
        <color rgb="FF000000"/>
        <rFont val="Calibri"/>
        <family val="2"/>
        <scheme val="minor"/>
      </rPr>
      <t xml:space="preserve"> </t>
    </r>
  </si>
  <si>
    <r>
      <t xml:space="preserve">5a </t>
    </r>
    <r>
      <rPr>
        <sz val="10"/>
        <color rgb="FF000000"/>
        <rFont val="Calibri"/>
        <family val="2"/>
        <scheme val="minor"/>
      </rPr>
      <t xml:space="preserve">Viral Load (x2), Seromarkers
</t>
    </r>
    <r>
      <rPr>
        <vertAlign val="superscript"/>
        <sz val="10"/>
        <color rgb="FF000000"/>
        <rFont val="Calibri"/>
        <family val="2"/>
        <scheme val="minor"/>
      </rPr>
      <t>5b</t>
    </r>
    <r>
      <rPr>
        <sz val="10"/>
        <color rgb="FF000000"/>
        <rFont val="Calibri"/>
        <family val="2"/>
        <scheme val="minor"/>
      </rPr>
      <t xml:space="preserve"> HCV cAg, Creatinine, AST, Platelet, HCV PCR (SVR)</t>
    </r>
  </si>
  <si>
    <r>
      <t>6</t>
    </r>
    <r>
      <rPr>
        <sz val="10"/>
        <color rgb="FF000000"/>
        <rFont val="Calibri"/>
        <family val="2"/>
        <scheme val="minor"/>
      </rPr>
      <t xml:space="preserve"> SOF/DAC (3 months)</t>
    </r>
  </si>
  <si>
    <t>UHEP Guidelines, Negotiated Pricing
(Fall, 2019)</t>
  </si>
  <si>
    <r>
      <t xml:space="preserve">The </t>
    </r>
    <r>
      <rPr>
        <b/>
        <sz val="14"/>
        <color theme="1"/>
        <rFont val="Calibri"/>
        <family val="2"/>
        <scheme val="minor"/>
      </rPr>
      <t>National Program - Status Quo</t>
    </r>
    <r>
      <rPr>
        <sz val="14"/>
        <color theme="1"/>
        <rFont val="Calibri"/>
        <family val="2"/>
        <scheme val="minor"/>
      </rPr>
      <t xml:space="preserve"> tab breaks out the cost of a national elimination program for Hepattis B and C in Uzbekistan under base case or 'status quo' conditions, using current national guidelines for testing and treatment. </t>
    </r>
  </si>
  <si>
    <r>
      <t xml:space="preserve">The </t>
    </r>
    <r>
      <rPr>
        <b/>
        <sz val="14"/>
        <color theme="1"/>
        <rFont val="Calibri"/>
        <family val="2"/>
        <scheme val="minor"/>
      </rPr>
      <t>Pilot Program (UHEP)</t>
    </r>
    <r>
      <rPr>
        <sz val="14"/>
        <color theme="1"/>
        <rFont val="Calibri"/>
        <family val="2"/>
        <scheme val="minor"/>
      </rPr>
      <t xml:space="preserve"> tab breaks out the cost of the pilot program using simplified test and treat strategies.</t>
    </r>
  </si>
  <si>
    <t>Uzbekistan Hepatitis Elimination Program (UHEP) Financial Scenarios</t>
  </si>
  <si>
    <t>The program scope and costs assume testing of the apprxomately 22,000,000 adults, age &gt;18, in Uzbekistan.</t>
  </si>
  <si>
    <t xml:space="preserve">Columns B-F show the model inputs for HBV and HCV. </t>
  </si>
  <si>
    <t>Columns H-V show the annual costs of a combined HBV and HCV elimination program.</t>
  </si>
  <si>
    <t>Currency exchange rates between Uzbekistan Soum and US Dollars impact total program cost.  The model is based on an exchange rate of 8,300 Som to 1 USD.</t>
  </si>
  <si>
    <t>The program scope and costs assume testing of 250,000 adults, age &gt;18, in Tashkent, Uzbekistan.</t>
  </si>
  <si>
    <t>In contrast to the National Program, costs for tests and medicines are based on GPRO pooled procurment pricing and negotiated reductions in import duties and pharmacy markups</t>
  </si>
  <si>
    <t>Columns H-X show the annual costs of a combined HBV and HCV elimination program.</t>
  </si>
  <si>
    <t>The Catalytic Ratio (cell I96) is the ratio of the total program cost to the amount of upfront capital required.  The catalytic ratio will increase for a larger-scale national program (as compared to a relatively small and shorter pilot program).  A higher ratio reflects more patients treated for any given up-front, catalytic investment.</t>
  </si>
  <si>
    <t>Cash flow values shown in Uzbekistan Soms; see cells Y76 and Z76 for total program costs converted to US Dollars ($)</t>
  </si>
  <si>
    <t>Cash flow values shown in US Dollars ($)</t>
  </si>
  <si>
    <t>Catalytic Funding Repaid</t>
  </si>
  <si>
    <t xml:space="preserve">Catalytic Funding Invested </t>
  </si>
  <si>
    <t>This is the Base Case scenario - it does not utilize catalytic funding.  Therefore, the entire cost of the program would require funding through government budgets or via loans.</t>
  </si>
  <si>
    <t>Total Program Cost</t>
  </si>
  <si>
    <t xml:space="preserve">Total Catalytic Investment </t>
  </si>
  <si>
    <t>The Catalytic Investment  (cell I97) is the upfront amount needed to start the program.  The program is then sustained by revenue from patients purchasing medicines.</t>
  </si>
  <si>
    <t>n/a</t>
  </si>
  <si>
    <t>Screening, Testing and Treatment Prices to Patients</t>
  </si>
  <si>
    <t>2.475 million persons</t>
  </si>
  <si>
    <r>
      <t xml:space="preserve"> $3.50 - 5.50 </t>
    </r>
    <r>
      <rPr>
        <vertAlign val="superscript"/>
        <sz val="10"/>
        <color rgb="FF000000"/>
        <rFont val="Calibri"/>
        <family val="2"/>
        <scheme val="minor"/>
      </rPr>
      <t>1</t>
    </r>
    <r>
      <rPr>
        <sz val="10"/>
        <color rgb="FF000000"/>
        <rFont val="Calibri"/>
        <family val="2"/>
        <scheme val="minor"/>
      </rPr>
      <t xml:space="preserve"> </t>
    </r>
  </si>
  <si>
    <r>
      <t xml:space="preserve"> $50 -75 </t>
    </r>
    <r>
      <rPr>
        <vertAlign val="superscript"/>
        <sz val="10"/>
        <color rgb="FF000000"/>
        <rFont val="Calibri"/>
        <family val="2"/>
        <scheme val="minor"/>
      </rPr>
      <t>2a</t>
    </r>
    <r>
      <rPr>
        <sz val="10"/>
        <color rgb="FF000000"/>
        <rFont val="Calibri"/>
        <family val="2"/>
        <scheme val="minor"/>
      </rPr>
      <t xml:space="preserve"> </t>
    </r>
  </si>
  <si>
    <r>
      <t xml:space="preserve"> $330 - 400 / yr </t>
    </r>
    <r>
      <rPr>
        <vertAlign val="superscript"/>
        <sz val="10"/>
        <color rgb="FF000000"/>
        <rFont val="Calibri"/>
        <family val="2"/>
        <scheme val="minor"/>
      </rPr>
      <t>3</t>
    </r>
    <r>
      <rPr>
        <sz val="10"/>
        <color rgb="FF000000"/>
        <rFont val="Calibri"/>
        <family val="2"/>
        <scheme val="minor"/>
      </rPr>
      <t xml:space="preserve"> </t>
    </r>
  </si>
  <si>
    <r>
      <t xml:space="preserve"> $180 / yr </t>
    </r>
    <r>
      <rPr>
        <vertAlign val="superscript"/>
        <sz val="10"/>
        <color rgb="FF000000"/>
        <rFont val="Calibri"/>
        <family val="2"/>
        <scheme val="minor"/>
      </rPr>
      <t>3,7</t>
    </r>
    <r>
      <rPr>
        <sz val="10"/>
        <color rgb="FF000000"/>
        <rFont val="Calibri"/>
        <family val="2"/>
        <scheme val="minor"/>
      </rPr>
      <t xml:space="preserve"> </t>
    </r>
  </si>
  <si>
    <t>975,000 persons</t>
  </si>
  <si>
    <r>
      <t xml:space="preserve"> $1.80 - 3.00 </t>
    </r>
    <r>
      <rPr>
        <vertAlign val="superscript"/>
        <sz val="10"/>
        <color rgb="FF000000"/>
        <rFont val="Calibri"/>
        <family val="2"/>
        <scheme val="minor"/>
      </rPr>
      <t>4</t>
    </r>
  </si>
  <si>
    <r>
      <t xml:space="preserve"> $40 - 58 </t>
    </r>
    <r>
      <rPr>
        <vertAlign val="superscript"/>
        <sz val="10"/>
        <color rgb="FF000000"/>
        <rFont val="Calibri"/>
        <family val="2"/>
        <scheme val="minor"/>
      </rPr>
      <t>5a</t>
    </r>
  </si>
  <si>
    <r>
      <t xml:space="preserve"> $350 - 555 </t>
    </r>
    <r>
      <rPr>
        <vertAlign val="superscript"/>
        <sz val="10"/>
        <color rgb="FF000000"/>
        <rFont val="Calibri"/>
        <family val="2"/>
        <scheme val="minor"/>
      </rPr>
      <t>6</t>
    </r>
  </si>
  <si>
    <r>
      <t xml:space="preserve">$204 </t>
    </r>
    <r>
      <rPr>
        <vertAlign val="superscript"/>
        <sz val="10"/>
        <color rgb="FF000000"/>
        <rFont val="Calibri"/>
        <family val="2"/>
        <scheme val="minor"/>
      </rPr>
      <t>6,7</t>
    </r>
    <r>
      <rPr>
        <sz val="10"/>
        <color rgb="FF000000"/>
        <rFont val="Calibri"/>
        <family val="2"/>
        <scheme val="minor"/>
      </rPr>
      <t xml:space="preserve"> </t>
    </r>
  </si>
  <si>
    <r>
      <t>7</t>
    </r>
    <r>
      <rPr>
        <sz val="10"/>
        <color rgb="FF000000"/>
        <rFont val="Calibri"/>
        <family val="2"/>
        <scheme val="minor"/>
      </rPr>
      <t xml:space="preserve"> 20% of patients receive free treatment</t>
    </r>
  </si>
  <si>
    <t>Cost of a National Program over 10 yrs</t>
  </si>
  <si>
    <t>$860M - $1.1B</t>
  </si>
  <si>
    <t>$385M</t>
  </si>
  <si>
    <t>$420 - 650M</t>
  </si>
  <si>
    <t>$137M</t>
  </si>
  <si>
    <t>$1.28 - 1.75B</t>
  </si>
  <si>
    <t>$522M</t>
  </si>
  <si>
    <t>Capital Funding Required</t>
  </si>
  <si>
    <t>$27M</t>
  </si>
  <si>
    <t>Total Program</t>
  </si>
  <si>
    <r>
      <t xml:space="preserve">The </t>
    </r>
    <r>
      <rPr>
        <b/>
        <sz val="14"/>
        <color theme="1"/>
        <rFont val="Calibri"/>
        <family val="2"/>
        <scheme val="minor"/>
      </rPr>
      <t>Patient Price Comparison</t>
    </r>
    <r>
      <rPr>
        <sz val="14"/>
        <color theme="1"/>
        <rFont val="Calibri"/>
        <family val="2"/>
        <scheme val="minor"/>
      </rPr>
      <t xml:space="preserve"> tab shows the tests that are included in the Status Quo scenario as compared to the UHEP scenario.  It also shows the price that patients pay for testing and for medicine under each scenario.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</si>
</sst>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quot;-&quot;"/>
    <numFmt numFmtId="166" formatCode="_(&quot;$&quot;* #,##0_);_(&quot;$&quot;* \(#,##0\);_(&quot;$&quot;* &quot;-&quot;??_);_(@_)"/>
    <numFmt numFmtId="167" formatCode="_(&quot;$&quot;* #,##0.0_);_(&quot;$&quot;* \(#,##0.0\);_(&quot;$&quot;* &quot;-&quot;??_);_(@_)"/>
    <numFmt numFmtId="168" formatCode="0.0"/>
    <numFmt numFmtId="169" formatCode="_([$UZS]\ * #,##0_);_([$UZS]\ * \(#,##0\);_([$UZS]\ * &quot;-&quot;_);_(@_)"/>
    <numFmt numFmtId="170" formatCode="#,##0.0_);\(#,##0.0\)"/>
  </numFmts>
  <fonts count="24">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2"/>
      <color theme="0"/>
      <name val="Calibri"/>
      <family val="2"/>
      <scheme val="minor"/>
    </font>
    <font>
      <b/>
      <sz val="12"/>
      <color theme="0" tint="-4.9989318521683403E-2"/>
      <name val="Calibri"/>
      <family val="2"/>
      <scheme val="minor"/>
    </font>
    <font>
      <sz val="12"/>
      <color theme="0" tint="-0.249977111117893"/>
      <name val="Calibri"/>
      <family val="2"/>
      <scheme val="minor"/>
    </font>
    <font>
      <sz val="12"/>
      <color theme="0"/>
      <name val="Calibri"/>
      <family val="2"/>
      <scheme val="minor"/>
    </font>
    <font>
      <sz val="12"/>
      <name val="Calibri"/>
      <family val="2"/>
      <scheme val="minor"/>
    </font>
    <font>
      <sz val="10"/>
      <color theme="0"/>
      <name val="Arial"/>
      <family val="2"/>
    </font>
    <font>
      <sz val="12"/>
      <color theme="0" tint="-4.9989318521683403E-2"/>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vertAlign val="superscript"/>
      <sz val="10"/>
      <color rgb="FF000000"/>
      <name val="Calibri"/>
      <family val="2"/>
      <scheme val="minor"/>
    </font>
    <font>
      <sz val="14"/>
      <color theme="1"/>
      <name val="Calibri"/>
      <family val="2"/>
      <scheme val="minor"/>
    </font>
    <font>
      <b/>
      <sz val="14"/>
      <color theme="1"/>
      <name val="Calibri"/>
      <family val="2"/>
      <scheme val="minor"/>
    </font>
    <font>
      <b/>
      <sz val="12"/>
      <color rgb="FFFF0000"/>
      <name val="Calibri"/>
      <family val="2"/>
      <scheme val="minor"/>
    </font>
    <font>
      <b/>
      <sz val="18"/>
      <color theme="1"/>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sz val="10"/>
      <color theme="0"/>
      <name val="Calibri"/>
      <family val="2"/>
      <scheme val="minor"/>
    </font>
  </fonts>
  <fills count="11">
    <fill>
      <patternFill patternType="none"/>
    </fill>
    <fill>
      <patternFill patternType="gray125"/>
    </fill>
    <fill>
      <patternFill patternType="solid">
        <fgColor rgb="FFC000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7">
    <border>
      <left/>
      <right/>
      <top/>
      <bottom/>
      <diagonal/>
    </border>
    <border>
      <left/>
      <right/>
      <top style="thin">
        <color theme="1"/>
      </top>
      <bottom/>
      <diagonal/>
    </border>
    <border>
      <left/>
      <right/>
      <top/>
      <bottom style="thin">
        <color auto="1"/>
      </bottom>
      <diagonal/>
    </border>
    <border>
      <left/>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3" fillId="0" borderId="0"/>
    <xf numFmtId="44" fontId="3" fillId="0" borderId="0" applyFont="0" applyFill="0" applyBorder="0" applyAlignment="0" applyProtection="0"/>
  </cellStyleXfs>
  <cellXfs count="185">
    <xf numFmtId="0" fontId="0" fillId="0" borderId="0" xfId="0"/>
    <xf numFmtId="0" fontId="0" fillId="0" borderId="0" xfId="0" applyBorder="1"/>
    <xf numFmtId="0" fontId="4" fillId="0" borderId="0" xfId="0" applyFont="1" applyFill="1" applyBorder="1" applyAlignment="1"/>
    <xf numFmtId="0" fontId="5" fillId="2" borderId="0" xfId="0" applyFont="1" applyFill="1" applyBorder="1"/>
    <xf numFmtId="0" fontId="4" fillId="2" borderId="0" xfId="0" applyFont="1" applyFill="1" applyBorder="1"/>
    <xf numFmtId="0" fontId="7" fillId="0" borderId="0" xfId="0" applyFont="1" applyAlignment="1">
      <alignment horizontal="right"/>
    </xf>
    <xf numFmtId="0" fontId="5" fillId="6" borderId="0" xfId="0" applyFont="1" applyFill="1" applyBorder="1" applyAlignment="1">
      <alignment horizontal="left"/>
    </xf>
    <xf numFmtId="0" fontId="5" fillId="6" borderId="0" xfId="0" applyFont="1" applyFill="1" applyBorder="1" applyAlignment="1">
      <alignment horizontal="right"/>
    </xf>
    <xf numFmtId="0" fontId="5" fillId="6" borderId="0" xfId="0" quotePrefix="1" applyFont="1" applyFill="1" applyBorder="1" applyAlignment="1">
      <alignment horizontal="right"/>
    </xf>
    <xf numFmtId="0" fontId="5" fillId="6" borderId="0" xfId="0" applyFont="1" applyFill="1" applyAlignment="1">
      <alignment horizontal="center"/>
    </xf>
    <xf numFmtId="0" fontId="8" fillId="6" borderId="0" xfId="0" applyFont="1" applyFill="1" applyBorder="1" applyAlignment="1">
      <alignment horizontal="left"/>
    </xf>
    <xf numFmtId="164" fontId="0" fillId="3" borderId="0" xfId="2" applyNumberFormat="1" applyFont="1" applyFill="1" applyBorder="1"/>
    <xf numFmtId="164" fontId="9" fillId="0" borderId="0" xfId="0" applyNumberFormat="1" applyFont="1"/>
    <xf numFmtId="0" fontId="5" fillId="6" borderId="0" xfId="0" applyFont="1" applyFill="1" applyBorder="1"/>
    <xf numFmtId="0" fontId="8" fillId="6" borderId="0" xfId="0" applyFont="1" applyFill="1" applyBorder="1"/>
    <xf numFmtId="0" fontId="0" fillId="7" borderId="0" xfId="0" applyFill="1"/>
    <xf numFmtId="0" fontId="8" fillId="6" borderId="0" xfId="0" applyFont="1" applyFill="1" applyBorder="1" applyAlignment="1">
      <alignment horizontal="left" indent="1"/>
    </xf>
    <xf numFmtId="3" fontId="0" fillId="3" borderId="0" xfId="0" applyNumberFormat="1" applyFont="1" applyFill="1" applyBorder="1"/>
    <xf numFmtId="3" fontId="0" fillId="8" borderId="0" xfId="0" applyNumberFormat="1" applyFont="1" applyFill="1" applyBorder="1"/>
    <xf numFmtId="165" fontId="0" fillId="7" borderId="0" xfId="0" applyNumberFormat="1" applyFont="1" applyFill="1" applyBorder="1"/>
    <xf numFmtId="0" fontId="7" fillId="0" borderId="0" xfId="0" applyFont="1"/>
    <xf numFmtId="3" fontId="0" fillId="5" borderId="0" xfId="0" applyNumberFormat="1" applyFont="1" applyFill="1" applyBorder="1"/>
    <xf numFmtId="10" fontId="0" fillId="3" borderId="0" xfId="0" applyNumberFormat="1" applyFont="1" applyFill="1" applyBorder="1"/>
    <xf numFmtId="165" fontId="0" fillId="8" borderId="0" xfId="0" applyNumberFormat="1" applyFont="1" applyFill="1" applyBorder="1"/>
    <xf numFmtId="0" fontId="0" fillId="0" borderId="0" xfId="0" applyAlignment="1">
      <alignment horizontal="right"/>
    </xf>
    <xf numFmtId="9" fontId="0" fillId="3" borderId="0" xfId="2" applyFont="1" applyFill="1" applyBorder="1"/>
    <xf numFmtId="9" fontId="0" fillId="3" borderId="0" xfId="0" applyNumberFormat="1" applyFill="1"/>
    <xf numFmtId="165" fontId="0" fillId="3" borderId="0" xfId="0" applyNumberFormat="1" applyFont="1" applyFill="1" applyBorder="1"/>
    <xf numFmtId="165" fontId="0" fillId="0" borderId="0" xfId="0" applyNumberFormat="1"/>
    <xf numFmtId="44" fontId="0" fillId="0" borderId="0" xfId="0" applyNumberFormat="1"/>
    <xf numFmtId="164" fontId="0" fillId="3" borderId="0" xfId="0" applyNumberFormat="1" applyFill="1"/>
    <xf numFmtId="164" fontId="0" fillId="3" borderId="0" xfId="0" applyNumberFormat="1" applyFont="1" applyFill="1" applyBorder="1"/>
    <xf numFmtId="1" fontId="0" fillId="0" borderId="0" xfId="0" applyNumberFormat="1"/>
    <xf numFmtId="9" fontId="0" fillId="3" borderId="0" xfId="0" applyNumberFormat="1" applyFont="1" applyFill="1" applyBorder="1"/>
    <xf numFmtId="0" fontId="5" fillId="6" borderId="1" xfId="0" applyFont="1" applyFill="1" applyBorder="1" applyAlignment="1"/>
    <xf numFmtId="166" fontId="5" fillId="6" borderId="1" xfId="1" applyNumberFormat="1" applyFont="1" applyFill="1" applyBorder="1" applyAlignment="1">
      <alignment horizontal="right"/>
    </xf>
    <xf numFmtId="166" fontId="0" fillId="0" borderId="0" xfId="1" applyNumberFormat="1" applyFont="1"/>
    <xf numFmtId="166" fontId="0" fillId="7" borderId="0" xfId="1" applyNumberFormat="1" applyFont="1" applyFill="1" applyBorder="1"/>
    <xf numFmtId="166" fontId="9" fillId="0" borderId="0" xfId="1" applyNumberFormat="1" applyFont="1"/>
    <xf numFmtId="1" fontId="8" fillId="6" borderId="0" xfId="0" applyNumberFormat="1" applyFont="1" applyFill="1" applyBorder="1"/>
    <xf numFmtId="2" fontId="8" fillId="6" borderId="0" xfId="0" applyNumberFormat="1" applyFont="1" applyFill="1" applyBorder="1"/>
    <xf numFmtId="166" fontId="0" fillId="0" borderId="0" xfId="1" applyNumberFormat="1" applyFont="1" applyBorder="1"/>
    <xf numFmtId="167" fontId="0" fillId="5" borderId="0" xfId="0" applyNumberFormat="1" applyFill="1"/>
    <xf numFmtId="166" fontId="0" fillId="5" borderId="0" xfId="0" applyNumberFormat="1" applyFill="1"/>
    <xf numFmtId="166" fontId="0" fillId="7" borderId="2" xfId="1" applyNumberFormat="1" applyFont="1" applyFill="1" applyBorder="1"/>
    <xf numFmtId="166" fontId="9" fillId="0" borderId="2" xfId="1" applyNumberFormat="1" applyFont="1" applyBorder="1"/>
    <xf numFmtId="167" fontId="0" fillId="3" borderId="0" xfId="0" applyNumberFormat="1" applyFill="1"/>
    <xf numFmtId="0" fontId="8" fillId="6" borderId="0" xfId="0" applyFont="1" applyFill="1" applyBorder="1" applyAlignment="1">
      <alignment horizontal="right" indent="1"/>
    </xf>
    <xf numFmtId="166" fontId="0" fillId="0" borderId="0" xfId="0" applyNumberFormat="1" applyBorder="1"/>
    <xf numFmtId="0" fontId="0" fillId="0" borderId="0" xfId="0" applyFill="1"/>
    <xf numFmtId="168" fontId="7" fillId="0" borderId="0" xfId="0" applyNumberFormat="1" applyFont="1" applyAlignment="1">
      <alignment horizontal="left"/>
    </xf>
    <xf numFmtId="166" fontId="5" fillId="6" borderId="0" xfId="1" applyNumberFormat="1" applyFont="1" applyFill="1" applyBorder="1" applyAlignment="1">
      <alignment horizontal="right"/>
    </xf>
    <xf numFmtId="0" fontId="5" fillId="6" borderId="0" xfId="0" applyFont="1" applyFill="1" applyBorder="1" applyAlignment="1">
      <alignment horizontal="center"/>
    </xf>
    <xf numFmtId="0" fontId="0" fillId="0" borderId="0" xfId="0" applyFill="1" applyBorder="1"/>
    <xf numFmtId="169" fontId="0" fillId="5" borderId="0" xfId="0" applyNumberFormat="1" applyFill="1"/>
    <xf numFmtId="166" fontId="0" fillId="5" borderId="0" xfId="1" applyNumberFormat="1" applyFont="1" applyFill="1" applyBorder="1"/>
    <xf numFmtId="9" fontId="8" fillId="6" borderId="0" xfId="0" applyNumberFormat="1" applyFont="1" applyFill="1" applyBorder="1"/>
    <xf numFmtId="0" fontId="10" fillId="6" borderId="0" xfId="0" applyFont="1" applyFill="1" applyAlignment="1">
      <alignment horizontal="right" wrapText="1"/>
    </xf>
    <xf numFmtId="166" fontId="0" fillId="3" borderId="0" xfId="0" applyNumberFormat="1" applyFill="1"/>
    <xf numFmtId="166" fontId="0" fillId="5" borderId="2" xfId="1" applyNumberFormat="1" applyFont="1" applyFill="1" applyBorder="1"/>
    <xf numFmtId="37" fontId="0" fillId="0" borderId="0" xfId="0" applyNumberFormat="1"/>
    <xf numFmtId="168" fontId="0" fillId="3" borderId="0" xfId="2" applyNumberFormat="1" applyFont="1" applyFill="1" applyBorder="1"/>
    <xf numFmtId="0" fontId="8" fillId="6" borderId="0" xfId="0" applyFont="1" applyFill="1" applyBorder="1" applyAlignment="1">
      <alignment horizontal="left" indent="3"/>
    </xf>
    <xf numFmtId="170" fontId="0" fillId="3" borderId="0" xfId="0" applyNumberFormat="1" applyFill="1"/>
    <xf numFmtId="0" fontId="8" fillId="6" borderId="0" xfId="0" quotePrefix="1" applyFont="1" applyFill="1" applyBorder="1" applyAlignment="1">
      <alignment horizontal="left" indent="1"/>
    </xf>
    <xf numFmtId="166" fontId="9" fillId="0" borderId="0" xfId="1" applyNumberFormat="1" applyFont="1" applyBorder="1"/>
    <xf numFmtId="166" fontId="0" fillId="0" borderId="2" xfId="0" applyNumberFormat="1" applyBorder="1"/>
    <xf numFmtId="166" fontId="9" fillId="0" borderId="0" xfId="1" applyNumberFormat="1" applyFont="1" applyFill="1" applyBorder="1"/>
    <xf numFmtId="0" fontId="8" fillId="6" borderId="0" xfId="0" applyFont="1" applyFill="1" applyBorder="1" applyAlignment="1">
      <alignment horizontal="left" indent="2"/>
    </xf>
    <xf numFmtId="0" fontId="0" fillId="0" borderId="2" xfId="0" applyBorder="1"/>
    <xf numFmtId="166" fontId="9" fillId="0" borderId="2" xfId="1" applyNumberFormat="1" applyFont="1" applyFill="1" applyBorder="1"/>
    <xf numFmtId="166" fontId="8" fillId="6" borderId="0" xfId="1" applyNumberFormat="1" applyFont="1" applyFill="1" applyBorder="1"/>
    <xf numFmtId="166" fontId="0" fillId="0" borderId="0" xfId="0" applyNumberFormat="1"/>
    <xf numFmtId="168" fontId="0" fillId="0" borderId="0" xfId="0" applyNumberFormat="1" applyAlignment="1">
      <alignment horizontal="center"/>
    </xf>
    <xf numFmtId="0" fontId="11" fillId="0" borderId="0" xfId="0" applyFont="1"/>
    <xf numFmtId="0" fontId="2" fillId="0" borderId="0" xfId="4"/>
    <xf numFmtId="0" fontId="2" fillId="0" borderId="0" xfId="4" applyBorder="1"/>
    <xf numFmtId="0" fontId="4" fillId="0" borderId="0" xfId="4" applyFont="1" applyFill="1" applyBorder="1" applyAlignment="1"/>
    <xf numFmtId="0" fontId="5" fillId="2" borderId="0" xfId="4" applyFont="1" applyFill="1" applyBorder="1"/>
    <xf numFmtId="0" fontId="4" fillId="2" borderId="0" xfId="4" applyFont="1" applyFill="1" applyBorder="1"/>
    <xf numFmtId="0" fontId="8" fillId="6" borderId="0" xfId="4" applyFont="1" applyFill="1" applyBorder="1"/>
    <xf numFmtId="0" fontId="5" fillId="6" borderId="0" xfId="4" applyFont="1" applyFill="1" applyBorder="1" applyAlignment="1">
      <alignment horizontal="right"/>
    </xf>
    <xf numFmtId="0" fontId="5" fillId="6" borderId="0" xfId="4" applyFont="1" applyFill="1" applyAlignment="1">
      <alignment horizontal="center"/>
    </xf>
    <xf numFmtId="0" fontId="8" fillId="6" borderId="0" xfId="4" applyFont="1" applyFill="1" applyBorder="1" applyAlignment="1">
      <alignment horizontal="left"/>
    </xf>
    <xf numFmtId="164" fontId="0" fillId="8" borderId="0" xfId="5" applyNumberFormat="1" applyFont="1" applyFill="1" applyBorder="1"/>
    <xf numFmtId="164" fontId="9" fillId="0" borderId="0" xfId="4" applyNumberFormat="1" applyFont="1"/>
    <xf numFmtId="0" fontId="5" fillId="6" borderId="0" xfId="4" applyFont="1" applyFill="1" applyBorder="1"/>
    <xf numFmtId="0" fontId="2" fillId="7" borderId="0" xfId="4" applyFill="1"/>
    <xf numFmtId="0" fontId="8" fillId="6" borderId="0" xfId="4" applyFont="1" applyFill="1" applyBorder="1" applyAlignment="1">
      <alignment horizontal="left" indent="1"/>
    </xf>
    <xf numFmtId="3" fontId="2" fillId="8" borderId="0" xfId="4" applyNumberFormat="1" applyFont="1" applyFill="1" applyBorder="1"/>
    <xf numFmtId="3" fontId="2" fillId="7" borderId="0" xfId="4" applyNumberFormat="1" applyFont="1" applyFill="1" applyBorder="1"/>
    <xf numFmtId="3" fontId="9" fillId="0" borderId="0" xfId="4" applyNumberFormat="1" applyFont="1"/>
    <xf numFmtId="9" fontId="2" fillId="7" borderId="0" xfId="4" applyNumberFormat="1" applyFill="1"/>
    <xf numFmtId="3" fontId="2" fillId="7" borderId="0" xfId="4" applyNumberFormat="1" applyFill="1" applyBorder="1"/>
    <xf numFmtId="1" fontId="9" fillId="0" borderId="0" xfId="4" applyNumberFormat="1" applyFont="1"/>
    <xf numFmtId="9" fontId="0" fillId="8" borderId="0" xfId="5" applyFont="1" applyFill="1" applyBorder="1"/>
    <xf numFmtId="164" fontId="0" fillId="7" borderId="0" xfId="5" applyNumberFormat="1" applyFont="1" applyFill="1" applyBorder="1"/>
    <xf numFmtId="0" fontId="2" fillId="7" borderId="0" xfId="4" applyFill="1" applyBorder="1"/>
    <xf numFmtId="164" fontId="9" fillId="7" borderId="0" xfId="4" applyNumberFormat="1" applyFont="1" applyFill="1"/>
    <xf numFmtId="0" fontId="11" fillId="0" borderId="0" xfId="4" applyFont="1"/>
    <xf numFmtId="10" fontId="2" fillId="8" borderId="0" xfId="4" applyNumberFormat="1" applyFont="1" applyFill="1" applyBorder="1"/>
    <xf numFmtId="0" fontId="8" fillId="6" borderId="2" xfId="4" applyFont="1" applyFill="1" applyBorder="1" applyAlignment="1">
      <alignment horizontal="left" indent="1"/>
    </xf>
    <xf numFmtId="3" fontId="0" fillId="8" borderId="0" xfId="6" applyNumberFormat="1" applyFont="1" applyFill="1" applyBorder="1"/>
    <xf numFmtId="0" fontId="5" fillId="6" borderId="1" xfId="4" applyFont="1" applyFill="1" applyBorder="1" applyAlignment="1"/>
    <xf numFmtId="166" fontId="5" fillId="6" borderId="1" xfId="6" applyNumberFormat="1" applyFont="1" applyFill="1" applyBorder="1" applyAlignment="1">
      <alignment horizontal="right"/>
    </xf>
    <xf numFmtId="166" fontId="0" fillId="0" borderId="0" xfId="6" applyNumberFormat="1" applyFont="1"/>
    <xf numFmtId="3" fontId="2" fillId="8" borderId="0" xfId="6" applyNumberFormat="1" applyFont="1" applyFill="1" applyBorder="1"/>
    <xf numFmtId="166" fontId="4" fillId="8" borderId="0" xfId="6" applyNumberFormat="1" applyFont="1" applyFill="1" applyBorder="1"/>
    <xf numFmtId="166" fontId="0" fillId="7" borderId="0" xfId="6" applyNumberFormat="1" applyFont="1" applyFill="1" applyBorder="1"/>
    <xf numFmtId="166" fontId="9" fillId="0" borderId="0" xfId="6" applyNumberFormat="1" applyFont="1"/>
    <xf numFmtId="3" fontId="0" fillId="8" borderId="0" xfId="6" quotePrefix="1" applyNumberFormat="1" applyFont="1" applyFill="1" applyBorder="1"/>
    <xf numFmtId="166" fontId="0" fillId="0" borderId="0" xfId="6" applyNumberFormat="1" applyFont="1" applyBorder="1"/>
    <xf numFmtId="166" fontId="0" fillId="7" borderId="2" xfId="6" applyNumberFormat="1" applyFont="1" applyFill="1" applyBorder="1"/>
    <xf numFmtId="166" fontId="9" fillId="0" borderId="2" xfId="6" applyNumberFormat="1" applyFont="1" applyBorder="1"/>
    <xf numFmtId="0" fontId="8" fillId="6" borderId="0" xfId="4" applyFont="1" applyFill="1" applyBorder="1" applyAlignment="1">
      <alignment horizontal="right" indent="1"/>
    </xf>
    <xf numFmtId="166" fontId="2" fillId="0" borderId="0" xfId="4" applyNumberFormat="1" applyBorder="1"/>
    <xf numFmtId="0" fontId="5" fillId="6" borderId="0" xfId="4" applyFont="1" applyFill="1" applyBorder="1" applyAlignment="1">
      <alignment horizontal="left"/>
    </xf>
    <xf numFmtId="166" fontId="5" fillId="6" borderId="0" xfId="6" applyNumberFormat="1" applyFont="1" applyFill="1" applyBorder="1" applyAlignment="1">
      <alignment horizontal="right"/>
    </xf>
    <xf numFmtId="0" fontId="5" fillId="6" borderId="0" xfId="4" applyFont="1" applyFill="1" applyBorder="1" applyAlignment="1">
      <alignment horizontal="center"/>
    </xf>
    <xf numFmtId="0" fontId="2" fillId="0" borderId="0" xfId="4" applyFill="1" applyBorder="1"/>
    <xf numFmtId="0" fontId="2" fillId="0" borderId="0" xfId="4" applyFill="1"/>
    <xf numFmtId="166" fontId="0" fillId="0" borderId="2" xfId="6" applyNumberFormat="1" applyFont="1" applyBorder="1"/>
    <xf numFmtId="44" fontId="0" fillId="0" borderId="2" xfId="6" applyNumberFormat="1" applyFont="1" applyBorder="1"/>
    <xf numFmtId="0" fontId="8" fillId="6" borderId="0" xfId="4" applyFont="1" applyFill="1" applyBorder="1" applyAlignment="1">
      <alignment horizontal="left" indent="2"/>
    </xf>
    <xf numFmtId="2" fontId="8" fillId="6" borderId="0" xfId="4" applyNumberFormat="1" applyFont="1" applyFill="1" applyBorder="1"/>
    <xf numFmtId="1" fontId="8" fillId="6" borderId="0" xfId="4" applyNumberFormat="1" applyFont="1" applyFill="1" applyBorder="1"/>
    <xf numFmtId="166" fontId="2" fillId="7" borderId="0" xfId="4" applyNumberFormat="1" applyFill="1"/>
    <xf numFmtId="166" fontId="2" fillId="0" borderId="0" xfId="4" applyNumberFormat="1"/>
    <xf numFmtId="166" fontId="2" fillId="0" borderId="0" xfId="4" applyNumberFormat="1" applyFill="1"/>
    <xf numFmtId="166" fontId="2" fillId="7" borderId="0" xfId="6" applyNumberFormat="1" applyFont="1" applyFill="1" applyBorder="1"/>
    <xf numFmtId="166" fontId="9" fillId="0" borderId="0" xfId="6" applyNumberFormat="1" applyFont="1" applyBorder="1"/>
    <xf numFmtId="0" fontId="10" fillId="6" borderId="0" xfId="4" applyFont="1" applyFill="1" applyAlignment="1">
      <alignment horizontal="right" wrapText="1"/>
    </xf>
    <xf numFmtId="170" fontId="2" fillId="0" borderId="0" xfId="4" applyNumberFormat="1"/>
    <xf numFmtId="166" fontId="2" fillId="0" borderId="2" xfId="4" applyNumberFormat="1" applyBorder="1"/>
    <xf numFmtId="0" fontId="4" fillId="0" borderId="0" xfId="4" applyFont="1" applyAlignment="1">
      <alignment horizontal="right"/>
    </xf>
    <xf numFmtId="37" fontId="2" fillId="0" borderId="0" xfId="4" applyNumberFormat="1"/>
    <xf numFmtId="0" fontId="8" fillId="6" borderId="0" xfId="4" applyFont="1" applyFill="1" applyBorder="1" applyAlignment="1">
      <alignment horizontal="left" indent="3"/>
    </xf>
    <xf numFmtId="166" fontId="8" fillId="6" borderId="0" xfId="6" applyNumberFormat="1" applyFont="1" applyFill="1" applyBorder="1"/>
    <xf numFmtId="0" fontId="13" fillId="0" borderId="0" xfId="8" applyFont="1"/>
    <xf numFmtId="0" fontId="13" fillId="0" borderId="0" xfId="8" applyFont="1" applyBorder="1"/>
    <xf numFmtId="0" fontId="13" fillId="0" borderId="0" xfId="8" applyFont="1" applyFill="1" applyBorder="1"/>
    <xf numFmtId="44" fontId="13" fillId="0" borderId="0" xfId="9" applyFont="1"/>
    <xf numFmtId="0" fontId="14" fillId="0" borderId="0" xfId="8" applyFont="1" applyBorder="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0" fontId="14" fillId="0" borderId="0" xfId="8" applyFont="1" applyBorder="1" applyAlignment="1">
      <alignment vertical="center"/>
    </xf>
    <xf numFmtId="0" fontId="16" fillId="0" borderId="0" xfId="0" applyFont="1"/>
    <xf numFmtId="0" fontId="16" fillId="0" borderId="0" xfId="0" applyFont="1" applyAlignment="1">
      <alignment wrapText="1"/>
    </xf>
    <xf numFmtId="0" fontId="16" fillId="0" borderId="0" xfId="0" applyFont="1" applyAlignment="1">
      <alignment horizontal="left" wrapText="1"/>
    </xf>
    <xf numFmtId="0" fontId="2" fillId="9" borderId="0" xfId="4" applyFill="1"/>
    <xf numFmtId="0" fontId="4" fillId="9" borderId="0" xfId="4" applyFont="1" applyFill="1" applyAlignment="1">
      <alignment horizontal="right"/>
    </xf>
    <xf numFmtId="3" fontId="2" fillId="9" borderId="0" xfId="4" applyNumberFormat="1" applyFill="1"/>
    <xf numFmtId="166" fontId="2" fillId="9" borderId="0" xfId="4" applyNumberFormat="1" applyFill="1"/>
    <xf numFmtId="0" fontId="18" fillId="0" borderId="0" xfId="4" applyFont="1" applyFill="1" applyBorder="1" applyAlignment="1"/>
    <xf numFmtId="0" fontId="4" fillId="0" borderId="0" xfId="0" applyFont="1" applyFill="1" applyBorder="1" applyAlignment="1">
      <alignment horizontal="center"/>
    </xf>
    <xf numFmtId="166" fontId="0" fillId="5" borderId="0" xfId="0" applyNumberFormat="1" applyFill="1" applyBorder="1"/>
    <xf numFmtId="166" fontId="0" fillId="10" borderId="0" xfId="1" applyNumberFormat="1" applyFont="1" applyFill="1" applyBorder="1"/>
    <xf numFmtId="166" fontId="0" fillId="4" borderId="0" xfId="1" applyNumberFormat="1" applyFont="1" applyFill="1" applyBorder="1"/>
    <xf numFmtId="0" fontId="4" fillId="10" borderId="0" xfId="0" applyFont="1" applyFill="1" applyBorder="1" applyAlignment="1"/>
    <xf numFmtId="0" fontId="4" fillId="4" borderId="0" xfId="0" applyFont="1" applyFill="1" applyBorder="1" applyAlignment="1">
      <alignment horizontal="left"/>
    </xf>
    <xf numFmtId="0" fontId="4" fillId="4" borderId="0" xfId="0" applyFont="1" applyFill="1" applyBorder="1" applyAlignment="1"/>
    <xf numFmtId="0" fontId="8" fillId="0" borderId="0" xfId="0" applyFont="1" applyFill="1" applyBorder="1" applyAlignment="1">
      <alignment horizontal="left" indent="1"/>
    </xf>
    <xf numFmtId="166" fontId="8" fillId="0" borderId="0" xfId="1" applyNumberFormat="1" applyFont="1" applyFill="1" applyBorder="1"/>
    <xf numFmtId="166" fontId="1" fillId="0" borderId="0" xfId="1" applyNumberFormat="1" applyFont="1" applyFill="1" applyBorder="1"/>
    <xf numFmtId="0" fontId="19" fillId="0" borderId="0" xfId="0" applyFont="1"/>
    <xf numFmtId="168" fontId="1" fillId="0" borderId="0" xfId="4" applyNumberFormat="1" applyFont="1" applyAlignment="1">
      <alignment horizontal="center"/>
    </xf>
    <xf numFmtId="0" fontId="12" fillId="0" borderId="0" xfId="8" applyFont="1" applyFill="1" applyBorder="1" applyAlignment="1">
      <alignment vertical="center"/>
    </xf>
    <xf numFmtId="0" fontId="13" fillId="0" borderId="0" xfId="8" applyFont="1" applyBorder="1" applyAlignment="1"/>
    <xf numFmtId="0" fontId="13" fillId="0" borderId="0" xfId="8" applyFont="1" applyAlignment="1">
      <alignment horizontal="center"/>
    </xf>
    <xf numFmtId="0" fontId="13" fillId="0" borderId="3" xfId="8" applyFont="1" applyBorder="1" applyAlignment="1">
      <alignment horizontal="center"/>
    </xf>
    <xf numFmtId="0" fontId="20" fillId="0" borderId="0" xfId="8" applyFont="1" applyAlignment="1">
      <alignment horizontal="center"/>
    </xf>
    <xf numFmtId="0" fontId="21" fillId="0" borderId="5" xfId="8" applyFont="1" applyFill="1" applyBorder="1" applyAlignment="1">
      <alignment horizontal="center"/>
    </xf>
    <xf numFmtId="0" fontId="21" fillId="0" borderId="6" xfId="8" applyFont="1" applyFill="1" applyBorder="1" applyAlignment="1">
      <alignment horizontal="center"/>
    </xf>
    <xf numFmtId="0" fontId="22" fillId="6" borderId="0" xfId="8" applyFont="1" applyFill="1" applyBorder="1" applyAlignment="1">
      <alignment horizontal="center" vertical="center" wrapText="1"/>
    </xf>
    <xf numFmtId="0" fontId="23" fillId="6" borderId="0" xfId="8" applyFont="1" applyFill="1" applyBorder="1" applyAlignment="1">
      <alignment vertical="center"/>
    </xf>
    <xf numFmtId="0" fontId="22" fillId="6" borderId="0" xfId="8" applyFont="1" applyFill="1" applyBorder="1" applyAlignment="1">
      <alignment vertical="center"/>
    </xf>
    <xf numFmtId="0" fontId="23" fillId="6" borderId="0" xfId="8" applyFont="1" applyFill="1" applyBorder="1" applyAlignment="1">
      <alignment horizontal="left" vertical="center" indent="2"/>
    </xf>
    <xf numFmtId="0" fontId="23" fillId="6" borderId="0" xfId="8" applyFont="1" applyFill="1" applyBorder="1"/>
    <xf numFmtId="0" fontId="23" fillId="6" borderId="0" xfId="8" applyFont="1" applyFill="1"/>
    <xf numFmtId="0" fontId="22" fillId="6" borderId="0" xfId="8" applyFont="1" applyFill="1"/>
    <xf numFmtId="0" fontId="23" fillId="6" borderId="0" xfId="8" applyFont="1" applyFill="1" applyAlignment="1">
      <alignment horizontal="left" indent="1"/>
    </xf>
    <xf numFmtId="0" fontId="22" fillId="6" borderId="4" xfId="8" applyFont="1" applyFill="1" applyBorder="1"/>
    <xf numFmtId="0" fontId="6" fillId="6" borderId="0" xfId="4" applyFont="1" applyFill="1" applyBorder="1" applyAlignment="1">
      <alignment horizontal="center"/>
    </xf>
    <xf numFmtId="0" fontId="22" fillId="6" borderId="0" xfId="8" applyFont="1" applyFill="1" applyBorder="1" applyAlignment="1">
      <alignment horizontal="center" vertical="center"/>
    </xf>
    <xf numFmtId="0" fontId="6" fillId="6" borderId="0" xfId="0" applyFont="1" applyFill="1" applyBorder="1" applyAlignment="1">
      <alignment horizontal="center"/>
    </xf>
  </cellXfs>
  <cellStyles count="10">
    <cellStyle name="Comma 2" xfId="7" xr:uid="{24208ABD-E33F-4748-9B95-8CC8C822CBE2}"/>
    <cellStyle name="Currency" xfId="1" builtinId="4"/>
    <cellStyle name="Currency 2" xfId="6" xr:uid="{0E7755CE-38E3-1740-BCD2-043861CFD476}"/>
    <cellStyle name="Currency 2 2" xfId="9" xr:uid="{2E5A7B24-8DF0-0D43-9DCF-CB9452649871}"/>
    <cellStyle name="Normal" xfId="0" builtinId="0"/>
    <cellStyle name="Normal 2" xfId="3" xr:uid="{00000000-0005-0000-0000-000003000000}"/>
    <cellStyle name="Normal 3" xfId="4" xr:uid="{1932D566-FD12-3248-863B-757ECB0ED95F}"/>
    <cellStyle name="Normal 3 2" xfId="8" xr:uid="{25380AEF-AD67-F64A-BC4E-662B35C3479B}"/>
    <cellStyle name="Percent" xfId="2" builtinId="5"/>
    <cellStyle name="Percent 2" xfId="5" xr:uid="{052C2205-C311-A54E-8302-5B0DBA65CFDA}"/>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DAF" id="{270D77B8-A1EA-B24C-BE6D-3CFDA3D1A48E}" userId="CDAF" providerId="None"/>
  <person displayName="Microsoft Office User" id="{6A1A8D2D-F4DE-CB4B-9DFC-2152CED0AD20}" userId="Microsoft Office U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3" personId="{270D77B8-A1EA-B24C-BE6D-3CFDA3D1A48E}" id="{086175FB-5BA9-7540-B2CC-22A96BD8C187}">
    <text>3% are expected to be cirrhotic but the study will have a higher % of cirrhotics due to the lost cost and free screening.</text>
  </threadedComment>
  <threadedComment ref="F14" personId="{6A1A8D2D-F4DE-CB4B-9DFC-2152CED0AD20}" id="{2EA6B8CC-D67B-3B43-BB56-A074A5F91BD0}">
    <text>Assumed 95% of pts get blood draw, 90% see a doctor, 95% get prescription (3% cirrhotic and 2% refuse) and 80% fill their Rx</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09872-B75E-8549-8F2D-244CAE4FE60E}">
  <dimension ref="B2:C20"/>
  <sheetViews>
    <sheetView showGridLines="0" tabSelected="1" workbookViewId="0"/>
  </sheetViews>
  <sheetFormatPr baseColWidth="10" defaultRowHeight="19"/>
  <cols>
    <col min="1" max="2" width="10.83203125" style="146"/>
    <col min="3" max="3" width="141.33203125" style="147" customWidth="1"/>
    <col min="4" max="16384" width="10.83203125" style="146"/>
  </cols>
  <sheetData>
    <row r="2" spans="2:3" ht="24">
      <c r="B2" s="164" t="s">
        <v>172</v>
      </c>
    </row>
    <row r="4" spans="2:3">
      <c r="B4" s="146" t="s">
        <v>170</v>
      </c>
    </row>
    <row r="5" spans="2:3" ht="20">
      <c r="C5" s="147" t="s">
        <v>173</v>
      </c>
    </row>
    <row r="6" spans="2:3" ht="20">
      <c r="C6" s="147" t="s">
        <v>174</v>
      </c>
    </row>
    <row r="7" spans="2:3" ht="20">
      <c r="C7" s="147" t="s">
        <v>175</v>
      </c>
    </row>
    <row r="8" spans="2:3" ht="40">
      <c r="C8" s="148" t="s">
        <v>154</v>
      </c>
    </row>
    <row r="9" spans="2:3" ht="40">
      <c r="C9" s="147" t="s">
        <v>176</v>
      </c>
    </row>
    <row r="10" spans="2:3" ht="40">
      <c r="C10" s="147" t="s">
        <v>185</v>
      </c>
    </row>
    <row r="12" spans="2:3">
      <c r="B12" s="146" t="s">
        <v>212</v>
      </c>
    </row>
    <row r="14" spans="2:3">
      <c r="B14" s="146" t="s">
        <v>171</v>
      </c>
    </row>
    <row r="15" spans="2:3" ht="20">
      <c r="C15" s="147" t="s">
        <v>177</v>
      </c>
    </row>
    <row r="16" spans="2:3" ht="40">
      <c r="C16" s="147" t="s">
        <v>178</v>
      </c>
    </row>
    <row r="17" spans="3:3" ht="20">
      <c r="C17" s="147" t="s">
        <v>174</v>
      </c>
    </row>
    <row r="18" spans="3:3" ht="20">
      <c r="C18" s="147" t="s">
        <v>179</v>
      </c>
    </row>
    <row r="19" spans="3:3" ht="40">
      <c r="C19" s="147" t="s">
        <v>188</v>
      </c>
    </row>
    <row r="20" spans="3:3" ht="60">
      <c r="C20" s="147"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1A1C-F1C5-C640-8FE3-D6EF4545A6E5}">
  <sheetPr>
    <tabColor rgb="FF00B050"/>
    <outlinePr summaryBelow="0" summaryRight="0"/>
  </sheetPr>
  <dimension ref="A1:Z75"/>
  <sheetViews>
    <sheetView showGridLines="0" zoomScaleNormal="100" workbookViewId="0">
      <selection activeCell="I19" sqref="I19"/>
    </sheetView>
  </sheetViews>
  <sheetFormatPr baseColWidth="10" defaultColWidth="11" defaultRowHeight="16" outlineLevelRow="1"/>
  <cols>
    <col min="1" max="1" width="3.83203125" style="75" customWidth="1"/>
    <col min="2" max="2" width="37" style="75" customWidth="1"/>
    <col min="3" max="3" width="15" style="75" bestFit="1" customWidth="1"/>
    <col min="4" max="4" width="4.33203125" style="75" customWidth="1"/>
    <col min="5" max="5" width="28.1640625" style="75" bestFit="1" customWidth="1"/>
    <col min="6" max="6" width="12.1640625" style="75" bestFit="1" customWidth="1"/>
    <col min="7" max="7" width="11.1640625" style="75" bestFit="1" customWidth="1"/>
    <col min="8" max="8" width="27.33203125" style="75" bestFit="1" customWidth="1"/>
    <col min="9" max="9" width="17.83203125" style="75" bestFit="1" customWidth="1"/>
    <col min="10" max="10" width="19.33203125" style="75" bestFit="1" customWidth="1"/>
    <col min="11" max="11" width="22.6640625" style="75" bestFit="1" customWidth="1"/>
    <col min="12" max="17" width="19.33203125" style="75" bestFit="1" customWidth="1"/>
    <col min="18" max="20" width="20.33203125" style="75" bestFit="1" customWidth="1"/>
    <col min="21" max="21" width="4.33203125" style="75" customWidth="1"/>
    <col min="22" max="22" width="19.6640625" style="75" bestFit="1" customWidth="1"/>
    <col min="23" max="23" width="18" style="75" bestFit="1" customWidth="1"/>
    <col min="24" max="24" width="5.33203125" style="75" bestFit="1" customWidth="1"/>
    <col min="25" max="25" width="20.33203125" style="75" customWidth="1"/>
    <col min="26" max="26" width="20.1640625" style="75" customWidth="1"/>
    <col min="27" max="16384" width="11" style="75"/>
  </cols>
  <sheetData>
    <row r="1" spans="1:22">
      <c r="B1" s="76"/>
      <c r="C1" s="76"/>
      <c r="D1" s="76"/>
      <c r="E1" s="76"/>
      <c r="F1" s="77"/>
      <c r="G1" s="77"/>
      <c r="H1" s="77"/>
      <c r="I1" s="77"/>
      <c r="J1" s="77"/>
      <c r="K1" s="77"/>
      <c r="L1" s="77"/>
      <c r="M1" s="77"/>
      <c r="N1" s="77"/>
      <c r="O1" s="77"/>
      <c r="P1" s="77"/>
      <c r="Q1" s="77"/>
      <c r="R1" s="76"/>
    </row>
    <row r="2" spans="1:22">
      <c r="B2" s="78" t="s">
        <v>0</v>
      </c>
      <c r="C2" s="79"/>
      <c r="D2" s="79"/>
      <c r="E2" s="79"/>
      <c r="F2" s="77"/>
      <c r="G2" s="77"/>
      <c r="H2" s="153" t="s">
        <v>181</v>
      </c>
      <c r="I2" s="77"/>
      <c r="J2" s="77"/>
      <c r="K2" s="77"/>
      <c r="L2" s="77"/>
      <c r="M2" s="77"/>
      <c r="N2" s="77"/>
      <c r="O2" s="77"/>
      <c r="P2" s="77"/>
      <c r="Q2" s="77"/>
      <c r="R2" s="76"/>
    </row>
    <row r="3" spans="1:22">
      <c r="B3" s="76"/>
      <c r="C3" s="76"/>
      <c r="D3" s="76"/>
      <c r="E3" s="76"/>
      <c r="F3" s="77"/>
      <c r="G3" s="77"/>
      <c r="H3" s="77"/>
      <c r="I3" s="77"/>
      <c r="J3" s="77"/>
      <c r="K3" s="77"/>
      <c r="L3" s="77"/>
      <c r="M3" s="77"/>
      <c r="N3" s="77"/>
      <c r="O3" s="77"/>
      <c r="P3" s="77"/>
      <c r="Q3" s="77"/>
      <c r="R3" s="76"/>
    </row>
    <row r="4" spans="1:22">
      <c r="B4" s="182" t="s">
        <v>2</v>
      </c>
      <c r="C4" s="182"/>
      <c r="D4" s="76"/>
      <c r="E4" s="182" t="s">
        <v>3</v>
      </c>
      <c r="F4" s="182"/>
      <c r="H4" s="80"/>
      <c r="I4" s="81" t="s">
        <v>123</v>
      </c>
      <c r="J4" s="81" t="s">
        <v>124</v>
      </c>
      <c r="K4" s="81" t="s">
        <v>125</v>
      </c>
      <c r="L4" s="81" t="s">
        <v>126</v>
      </c>
      <c r="M4" s="81" t="s">
        <v>127</v>
      </c>
      <c r="N4" s="81" t="s">
        <v>128</v>
      </c>
      <c r="O4" s="81" t="s">
        <v>129</v>
      </c>
      <c r="P4" s="81" t="s">
        <v>130</v>
      </c>
      <c r="Q4" s="81" t="s">
        <v>131</v>
      </c>
      <c r="R4" s="81" t="s">
        <v>132</v>
      </c>
      <c r="S4" s="81" t="s">
        <v>133</v>
      </c>
      <c r="T4" s="81" t="s">
        <v>134</v>
      </c>
      <c r="U4" s="76"/>
      <c r="V4" s="82" t="s">
        <v>20</v>
      </c>
    </row>
    <row r="5" spans="1:22">
      <c r="B5" s="76"/>
      <c r="C5" s="76"/>
      <c r="D5" s="76"/>
      <c r="E5" s="76"/>
      <c r="F5" s="76"/>
      <c r="H5" s="83" t="s">
        <v>21</v>
      </c>
      <c r="I5" s="84">
        <v>0.05</v>
      </c>
      <c r="J5" s="84">
        <v>7.0000000000000007E-2</v>
      </c>
      <c r="K5" s="84">
        <v>0.1</v>
      </c>
      <c r="L5" s="84">
        <v>0.12</v>
      </c>
      <c r="M5" s="84">
        <v>0.18</v>
      </c>
      <c r="N5" s="84">
        <v>0.16</v>
      </c>
      <c r="O5" s="84">
        <v>0.12</v>
      </c>
      <c r="P5" s="84">
        <v>0.1</v>
      </c>
      <c r="Q5" s="84">
        <v>7.0000000000000007E-2</v>
      </c>
      <c r="R5" s="84">
        <v>0.03</v>
      </c>
      <c r="S5" s="84">
        <v>0</v>
      </c>
      <c r="T5" s="84">
        <v>0</v>
      </c>
      <c r="U5" s="76"/>
      <c r="V5" s="85">
        <f>SUM(I5:T5)</f>
        <v>1</v>
      </c>
    </row>
    <row r="6" spans="1:22">
      <c r="B6" s="86" t="s">
        <v>22</v>
      </c>
      <c r="C6" s="80"/>
      <c r="D6" s="76"/>
      <c r="E6" s="86" t="s">
        <v>22</v>
      </c>
      <c r="F6" s="80"/>
      <c r="H6" s="83" t="s">
        <v>23</v>
      </c>
      <c r="I6" s="87"/>
      <c r="J6" s="87"/>
      <c r="K6" s="87"/>
      <c r="L6" s="87"/>
      <c r="M6" s="87"/>
      <c r="N6" s="87"/>
      <c r="O6" s="87"/>
      <c r="P6" s="87"/>
      <c r="Q6" s="87"/>
      <c r="R6" s="87"/>
      <c r="S6" s="87"/>
      <c r="T6" s="87"/>
      <c r="U6" s="87"/>
      <c r="V6" s="87"/>
    </row>
    <row r="7" spans="1:22">
      <c r="B7" s="88" t="s">
        <v>24</v>
      </c>
      <c r="C7" s="89">
        <v>22000000</v>
      </c>
      <c r="E7" s="88"/>
      <c r="F7" s="90"/>
      <c r="H7" s="88" t="s">
        <v>25</v>
      </c>
      <c r="I7" s="90">
        <f t="shared" ref="I7:T7" si="0">$C$7*I5/SUM($I$5:$T$5)</f>
        <v>1100000</v>
      </c>
      <c r="J7" s="90">
        <f t="shared" si="0"/>
        <v>1540000.0000000002</v>
      </c>
      <c r="K7" s="90">
        <f t="shared" si="0"/>
        <v>2200000</v>
      </c>
      <c r="L7" s="90">
        <f t="shared" si="0"/>
        <v>2640000</v>
      </c>
      <c r="M7" s="90">
        <f t="shared" si="0"/>
        <v>3960000</v>
      </c>
      <c r="N7" s="90">
        <f t="shared" si="0"/>
        <v>3520000</v>
      </c>
      <c r="O7" s="90">
        <f t="shared" si="0"/>
        <v>2640000</v>
      </c>
      <c r="P7" s="90">
        <f t="shared" si="0"/>
        <v>2200000</v>
      </c>
      <c r="Q7" s="90">
        <f t="shared" si="0"/>
        <v>1540000.0000000002</v>
      </c>
      <c r="R7" s="90">
        <f t="shared" si="0"/>
        <v>660000</v>
      </c>
      <c r="S7" s="90">
        <f t="shared" si="0"/>
        <v>0</v>
      </c>
      <c r="T7" s="90">
        <f t="shared" si="0"/>
        <v>0</v>
      </c>
      <c r="U7" s="76"/>
      <c r="V7" s="91">
        <f>SUM(I7:T7)</f>
        <v>22000000</v>
      </c>
    </row>
    <row r="8" spans="1:22">
      <c r="B8" s="88" t="s">
        <v>29</v>
      </c>
      <c r="C8" s="90">
        <f>C7*C9</f>
        <v>1760000</v>
      </c>
      <c r="E8" s="88" t="s">
        <v>30</v>
      </c>
      <c r="F8" s="90">
        <f>C7*F9</f>
        <v>1477142.857142857</v>
      </c>
      <c r="H8" s="88" t="s">
        <v>135</v>
      </c>
      <c r="I8" s="90">
        <f t="shared" ref="I8:T8" si="1">I7*($C$9+$C$15)</f>
        <v>88000</v>
      </c>
      <c r="J8" s="90">
        <f t="shared" si="1"/>
        <v>123200.00000000001</v>
      </c>
      <c r="K8" s="90">
        <f t="shared" si="1"/>
        <v>176000</v>
      </c>
      <c r="L8" s="90">
        <f t="shared" si="1"/>
        <v>211200</v>
      </c>
      <c r="M8" s="90">
        <f t="shared" si="1"/>
        <v>316800</v>
      </c>
      <c r="N8" s="90">
        <f t="shared" si="1"/>
        <v>281600</v>
      </c>
      <c r="O8" s="90">
        <f t="shared" si="1"/>
        <v>211200</v>
      </c>
      <c r="P8" s="90">
        <f t="shared" si="1"/>
        <v>176000</v>
      </c>
      <c r="Q8" s="90">
        <f t="shared" si="1"/>
        <v>123200.00000000001</v>
      </c>
      <c r="R8" s="90">
        <f t="shared" si="1"/>
        <v>52800</v>
      </c>
      <c r="S8" s="90">
        <f t="shared" si="1"/>
        <v>0</v>
      </c>
      <c r="T8" s="90">
        <f t="shared" si="1"/>
        <v>0</v>
      </c>
      <c r="V8" s="91">
        <f>SUM(I8:T8)</f>
        <v>1760000</v>
      </c>
    </row>
    <row r="9" spans="1:22">
      <c r="B9" s="88" t="s">
        <v>26</v>
      </c>
      <c r="C9" s="84">
        <v>0.08</v>
      </c>
      <c r="E9" s="88" t="s">
        <v>27</v>
      </c>
      <c r="F9" s="84">
        <f>4.7%/0.7</f>
        <v>6.7142857142857143E-2</v>
      </c>
      <c r="H9" s="88" t="s">
        <v>136</v>
      </c>
      <c r="I9" s="90">
        <f t="shared" ref="I9:T9" si="2">I7*$C$9</f>
        <v>88000</v>
      </c>
      <c r="J9" s="90">
        <f t="shared" si="2"/>
        <v>123200.00000000001</v>
      </c>
      <c r="K9" s="90">
        <f t="shared" si="2"/>
        <v>176000</v>
      </c>
      <c r="L9" s="90">
        <f t="shared" si="2"/>
        <v>211200</v>
      </c>
      <c r="M9" s="90">
        <f t="shared" si="2"/>
        <v>316800</v>
      </c>
      <c r="N9" s="90">
        <f t="shared" si="2"/>
        <v>281600</v>
      </c>
      <c r="O9" s="90">
        <f t="shared" si="2"/>
        <v>211200</v>
      </c>
      <c r="P9" s="90">
        <f t="shared" si="2"/>
        <v>176000</v>
      </c>
      <c r="Q9" s="90">
        <f t="shared" si="2"/>
        <v>123200.00000000001</v>
      </c>
      <c r="R9" s="90">
        <f t="shared" si="2"/>
        <v>52800</v>
      </c>
      <c r="S9" s="90">
        <f t="shared" si="2"/>
        <v>0</v>
      </c>
      <c r="T9" s="90">
        <f t="shared" si="2"/>
        <v>0</v>
      </c>
      <c r="V9" s="91">
        <f>SUM(I9:T9)</f>
        <v>1760000</v>
      </c>
    </row>
    <row r="10" spans="1:22">
      <c r="B10" s="88" t="s">
        <v>137</v>
      </c>
      <c r="C10" s="92">
        <v>0.28000000000000003</v>
      </c>
      <c r="E10" s="88" t="s">
        <v>38</v>
      </c>
      <c r="F10" s="92">
        <v>0.7</v>
      </c>
      <c r="H10" s="88" t="s">
        <v>36</v>
      </c>
      <c r="I10" s="90">
        <f t="shared" ref="I10:T10" si="3">$C$13*I5/SUM($I$5:$T$5)</f>
        <v>14981.120000000003</v>
      </c>
      <c r="J10" s="90">
        <f t="shared" si="3"/>
        <v>20973.568000000003</v>
      </c>
      <c r="K10" s="90">
        <f t="shared" si="3"/>
        <v>29962.240000000005</v>
      </c>
      <c r="L10" s="90">
        <f t="shared" si="3"/>
        <v>35954.688000000002</v>
      </c>
      <c r="M10" s="90">
        <f t="shared" si="3"/>
        <v>53932.031999999999</v>
      </c>
      <c r="N10" s="90">
        <f t="shared" si="3"/>
        <v>47939.584000000003</v>
      </c>
      <c r="O10" s="90">
        <f t="shared" si="3"/>
        <v>35954.688000000002</v>
      </c>
      <c r="P10" s="90">
        <f t="shared" si="3"/>
        <v>29962.240000000005</v>
      </c>
      <c r="Q10" s="90">
        <f t="shared" si="3"/>
        <v>20973.568000000003</v>
      </c>
      <c r="R10" s="90">
        <f t="shared" si="3"/>
        <v>8988.6720000000005</v>
      </c>
      <c r="S10" s="90">
        <f t="shared" si="3"/>
        <v>0</v>
      </c>
      <c r="T10" s="90">
        <f t="shared" si="3"/>
        <v>0</v>
      </c>
      <c r="U10" s="76"/>
      <c r="V10" s="91">
        <f>SUM(I10:T10)</f>
        <v>299622.40000000008</v>
      </c>
    </row>
    <row r="11" spans="1:22">
      <c r="B11" s="88" t="s">
        <v>43</v>
      </c>
      <c r="C11" s="84">
        <v>0.24</v>
      </c>
      <c r="E11" s="88"/>
      <c r="F11" s="90"/>
      <c r="H11" s="88" t="s">
        <v>39</v>
      </c>
      <c r="I11" s="93">
        <f>(I5&lt;&gt;0)*I10</f>
        <v>14981.120000000003</v>
      </c>
      <c r="J11" s="93">
        <f t="shared" ref="J11:T11" si="4">(J5&lt;&gt;0)*(J10+I11)</f>
        <v>35954.688000000009</v>
      </c>
      <c r="K11" s="93">
        <f t="shared" si="4"/>
        <v>65916.928000000014</v>
      </c>
      <c r="L11" s="93">
        <f t="shared" si="4"/>
        <v>101871.61600000001</v>
      </c>
      <c r="M11" s="93">
        <f t="shared" si="4"/>
        <v>155803.64800000002</v>
      </c>
      <c r="N11" s="93">
        <f t="shared" si="4"/>
        <v>203743.23200000002</v>
      </c>
      <c r="O11" s="93">
        <f t="shared" si="4"/>
        <v>239697.92000000001</v>
      </c>
      <c r="P11" s="93">
        <f t="shared" si="4"/>
        <v>269660.16000000003</v>
      </c>
      <c r="Q11" s="93">
        <f t="shared" si="4"/>
        <v>290633.72800000006</v>
      </c>
      <c r="R11" s="93">
        <f t="shared" si="4"/>
        <v>299622.40000000008</v>
      </c>
      <c r="S11" s="93">
        <f t="shared" si="4"/>
        <v>0</v>
      </c>
      <c r="T11" s="93">
        <f t="shared" si="4"/>
        <v>0</v>
      </c>
      <c r="U11" s="76"/>
      <c r="V11" s="94"/>
    </row>
    <row r="12" spans="1:22">
      <c r="B12" s="88" t="s">
        <v>44</v>
      </c>
      <c r="C12" s="95">
        <v>0.8</v>
      </c>
      <c r="E12" s="88" t="s">
        <v>44</v>
      </c>
      <c r="F12" s="95">
        <v>0.8</v>
      </c>
      <c r="H12" s="83" t="s">
        <v>52</v>
      </c>
      <c r="I12" s="96"/>
      <c r="J12" s="96"/>
      <c r="K12" s="96"/>
      <c r="L12" s="96"/>
      <c r="M12" s="96"/>
      <c r="N12" s="96"/>
      <c r="O12" s="96"/>
      <c r="P12" s="96"/>
      <c r="Q12" s="96"/>
      <c r="R12" s="96"/>
      <c r="S12" s="96"/>
      <c r="T12" s="96"/>
      <c r="U12" s="97"/>
      <c r="V12" s="98"/>
    </row>
    <row r="13" spans="1:22">
      <c r="B13" s="88" t="s">
        <v>47</v>
      </c>
      <c r="C13" s="90">
        <f>C12*C8*C10*(1-C11)</f>
        <v>299622.40000000002</v>
      </c>
      <c r="E13" s="88" t="s">
        <v>47</v>
      </c>
      <c r="F13" s="90">
        <f>F12*F8*F10</f>
        <v>827199.99999999988</v>
      </c>
      <c r="H13" s="88" t="s">
        <v>25</v>
      </c>
      <c r="I13" s="90">
        <f t="shared" ref="I13:T13" si="5">$C$7*I5/SUM($I$5:$T$5)</f>
        <v>1100000</v>
      </c>
      <c r="J13" s="90">
        <f t="shared" si="5"/>
        <v>1540000.0000000002</v>
      </c>
      <c r="K13" s="90">
        <f t="shared" si="5"/>
        <v>2200000</v>
      </c>
      <c r="L13" s="90">
        <f t="shared" si="5"/>
        <v>2640000</v>
      </c>
      <c r="M13" s="90">
        <f t="shared" si="5"/>
        <v>3960000</v>
      </c>
      <c r="N13" s="90">
        <f t="shared" si="5"/>
        <v>3520000</v>
      </c>
      <c r="O13" s="90">
        <f t="shared" si="5"/>
        <v>2640000</v>
      </c>
      <c r="P13" s="90">
        <f t="shared" si="5"/>
        <v>2200000</v>
      </c>
      <c r="Q13" s="90">
        <f t="shared" si="5"/>
        <v>1540000.0000000002</v>
      </c>
      <c r="R13" s="90">
        <f t="shared" si="5"/>
        <v>660000</v>
      </c>
      <c r="S13" s="90">
        <f t="shared" si="5"/>
        <v>0</v>
      </c>
      <c r="T13" s="90">
        <f t="shared" si="5"/>
        <v>0</v>
      </c>
      <c r="U13" s="76"/>
      <c r="V13" s="91">
        <f>SUM(I13:T13)</f>
        <v>22000000</v>
      </c>
    </row>
    <row r="14" spans="1:22">
      <c r="A14" s="99">
        <v>50</v>
      </c>
      <c r="B14" s="88" t="s">
        <v>49</v>
      </c>
      <c r="C14" s="95">
        <v>0.8</v>
      </c>
      <c r="E14" s="88" t="s">
        <v>49</v>
      </c>
      <c r="F14" s="95">
        <v>0.8</v>
      </c>
      <c r="H14" s="88" t="s">
        <v>135</v>
      </c>
      <c r="I14" s="90">
        <f t="shared" ref="I14:T14" si="6">I13*($F$9+$F$15)</f>
        <v>73857.142857142855</v>
      </c>
      <c r="J14" s="90">
        <f t="shared" si="6"/>
        <v>103400.00000000001</v>
      </c>
      <c r="K14" s="90">
        <f t="shared" si="6"/>
        <v>147714.28571428571</v>
      </c>
      <c r="L14" s="90">
        <f t="shared" si="6"/>
        <v>177257.14285714287</v>
      </c>
      <c r="M14" s="90">
        <f t="shared" si="6"/>
        <v>265885.71428571426</v>
      </c>
      <c r="N14" s="90">
        <f t="shared" si="6"/>
        <v>236342.85714285713</v>
      </c>
      <c r="O14" s="90">
        <f t="shared" si="6"/>
        <v>177257.14285714287</v>
      </c>
      <c r="P14" s="90">
        <f t="shared" si="6"/>
        <v>147714.28571428571</v>
      </c>
      <c r="Q14" s="90">
        <f t="shared" si="6"/>
        <v>103400.00000000001</v>
      </c>
      <c r="R14" s="90">
        <f t="shared" si="6"/>
        <v>44314.285714285717</v>
      </c>
      <c r="S14" s="90">
        <f t="shared" si="6"/>
        <v>0</v>
      </c>
      <c r="T14" s="90">
        <f t="shared" si="6"/>
        <v>0</v>
      </c>
      <c r="V14" s="91">
        <f>SUM(I14:T14)</f>
        <v>1477142.857142857</v>
      </c>
    </row>
    <row r="15" spans="1:22">
      <c r="B15" s="83" t="s">
        <v>32</v>
      </c>
      <c r="C15" s="100">
        <v>0</v>
      </c>
      <c r="E15" s="83" t="s">
        <v>32</v>
      </c>
      <c r="F15" s="100">
        <v>0</v>
      </c>
      <c r="H15" s="88" t="s">
        <v>136</v>
      </c>
      <c r="I15" s="90">
        <f t="shared" ref="I15:T15" si="7">I13*$F$9</f>
        <v>73857.142857142855</v>
      </c>
      <c r="J15" s="90">
        <f t="shared" si="7"/>
        <v>103400.00000000001</v>
      </c>
      <c r="K15" s="90">
        <f t="shared" si="7"/>
        <v>147714.28571428571</v>
      </c>
      <c r="L15" s="90">
        <f t="shared" si="7"/>
        <v>177257.14285714287</v>
      </c>
      <c r="M15" s="90">
        <f t="shared" si="7"/>
        <v>265885.71428571426</v>
      </c>
      <c r="N15" s="90">
        <f t="shared" si="7"/>
        <v>236342.85714285713</v>
      </c>
      <c r="O15" s="90">
        <f t="shared" si="7"/>
        <v>177257.14285714287</v>
      </c>
      <c r="P15" s="90">
        <f t="shared" si="7"/>
        <v>147714.28571428571</v>
      </c>
      <c r="Q15" s="90">
        <f t="shared" si="7"/>
        <v>103400.00000000001</v>
      </c>
      <c r="R15" s="90">
        <f t="shared" si="7"/>
        <v>44314.285714285717</v>
      </c>
      <c r="S15" s="90">
        <f t="shared" si="7"/>
        <v>0</v>
      </c>
      <c r="T15" s="90">
        <f t="shared" si="7"/>
        <v>0</v>
      </c>
      <c r="V15" s="91">
        <f>SUM(I15:T15)</f>
        <v>1477142.857142857</v>
      </c>
    </row>
    <row r="16" spans="1:22">
      <c r="H16" s="101" t="s">
        <v>60</v>
      </c>
      <c r="I16" s="90">
        <f t="shared" ref="I16:T16" si="8">$F$13*I5/SUM($I$5:$T$5)</f>
        <v>41360</v>
      </c>
      <c r="J16" s="90">
        <f t="shared" si="8"/>
        <v>57904</v>
      </c>
      <c r="K16" s="90">
        <f t="shared" si="8"/>
        <v>82720</v>
      </c>
      <c r="L16" s="90">
        <f t="shared" si="8"/>
        <v>99263.999999999985</v>
      </c>
      <c r="M16" s="90">
        <f t="shared" si="8"/>
        <v>148895.99999999997</v>
      </c>
      <c r="N16" s="90">
        <f t="shared" si="8"/>
        <v>132351.99999999997</v>
      </c>
      <c r="O16" s="90">
        <f t="shared" si="8"/>
        <v>99263.999999999985</v>
      </c>
      <c r="P16" s="90">
        <f t="shared" si="8"/>
        <v>82720</v>
      </c>
      <c r="Q16" s="90">
        <f t="shared" si="8"/>
        <v>57904</v>
      </c>
      <c r="R16" s="90">
        <f t="shared" si="8"/>
        <v>24815.999999999996</v>
      </c>
      <c r="S16" s="90">
        <f t="shared" si="8"/>
        <v>0</v>
      </c>
      <c r="T16" s="90">
        <f t="shared" si="8"/>
        <v>0</v>
      </c>
      <c r="V16" s="91">
        <f>SUM(I16:T16)</f>
        <v>827200</v>
      </c>
    </row>
    <row r="17" spans="1:23">
      <c r="B17" s="86" t="s">
        <v>119</v>
      </c>
      <c r="C17" s="80"/>
      <c r="E17" s="86" t="s">
        <v>119</v>
      </c>
      <c r="F17" s="80"/>
    </row>
    <row r="18" spans="1:23">
      <c r="B18" s="88" t="s">
        <v>138</v>
      </c>
      <c r="C18" s="102">
        <f>2759000/$C$37</f>
        <v>2759000</v>
      </c>
      <c r="E18" s="88" t="s">
        <v>139</v>
      </c>
      <c r="F18" s="102">
        <v>2933000</v>
      </c>
      <c r="H18" s="103" t="s">
        <v>70</v>
      </c>
      <c r="I18" s="104" t="str">
        <f t="shared" ref="I18:T18" si="9">I$4</f>
        <v>Yr 1</v>
      </c>
      <c r="J18" s="104" t="str">
        <f t="shared" si="9"/>
        <v>Yr 2</v>
      </c>
      <c r="K18" s="104" t="str">
        <f t="shared" si="9"/>
        <v>Yr 3</v>
      </c>
      <c r="L18" s="104" t="str">
        <f t="shared" si="9"/>
        <v>Yr 4</v>
      </c>
      <c r="M18" s="104" t="str">
        <f t="shared" si="9"/>
        <v>Yr 5</v>
      </c>
      <c r="N18" s="104" t="str">
        <f t="shared" si="9"/>
        <v>Yr 6</v>
      </c>
      <c r="O18" s="104" t="str">
        <f t="shared" si="9"/>
        <v>Yr 7</v>
      </c>
      <c r="P18" s="104" t="str">
        <f t="shared" si="9"/>
        <v>Yr 8</v>
      </c>
      <c r="Q18" s="104" t="str">
        <f t="shared" si="9"/>
        <v>Yr 9</v>
      </c>
      <c r="R18" s="104" t="str">
        <f t="shared" si="9"/>
        <v>Yr 10</v>
      </c>
      <c r="S18" s="104" t="str">
        <f t="shared" si="9"/>
        <v>Yr 11</v>
      </c>
      <c r="T18" s="104" t="str">
        <f t="shared" si="9"/>
        <v>Yr 12</v>
      </c>
      <c r="U18" s="105"/>
      <c r="V18" s="82" t="s">
        <v>20</v>
      </c>
    </row>
    <row r="19" spans="1:23">
      <c r="B19" s="88" t="s">
        <v>83</v>
      </c>
      <c r="C19" s="106">
        <v>30000</v>
      </c>
      <c r="E19" s="88" t="s">
        <v>83</v>
      </c>
      <c r="F19" s="106">
        <v>15000</v>
      </c>
      <c r="H19" s="88" t="s">
        <v>71</v>
      </c>
      <c r="I19" s="107">
        <v>0</v>
      </c>
      <c r="J19" s="108">
        <f>(MATCH(0,$J$5:$T$5,0)=COUNTA($J5:J5))*(-$I$19)</f>
        <v>0</v>
      </c>
      <c r="K19" s="108">
        <f>(MATCH(0,$J$5:$T$5,0)=COUNTA($J5:K5))*(-$I$19)</f>
        <v>0</v>
      </c>
      <c r="L19" s="108">
        <f>(MATCH(0,$J$5:$T$5,0)=COUNTA($J5:L5))*(-$I$19)</f>
        <v>0</v>
      </c>
      <c r="M19" s="108">
        <f>(MATCH(0,$J$5:$T$5,0)=COUNTA($J5:M5))*(-$I$19)</f>
        <v>0</v>
      </c>
      <c r="N19" s="108">
        <f>(MATCH(0,$J$5:$T$5,0)=COUNTA($J5:N5))*(-$I$19)</f>
        <v>0</v>
      </c>
      <c r="O19" s="108">
        <f>(MATCH(0,$J$5:$T$5,0)=COUNTA($J5:O5))*(-$I$19)</f>
        <v>0</v>
      </c>
      <c r="P19" s="108">
        <f>(MATCH(0,$J$5:$T$5,0)=COUNTA($J5:P5))*(-$I$19)</f>
        <v>0</v>
      </c>
      <c r="Q19" s="108">
        <f>(MATCH(0,$J$5:$T$5,0)=COUNTA($J5:Q5))*(-$I$19)</f>
        <v>0</v>
      </c>
      <c r="R19" s="108">
        <f>(MATCH(0,$J$5:$T$5,0)=COUNTA($J5:R5))*(-$I$19)</f>
        <v>0</v>
      </c>
      <c r="S19" s="108">
        <f>(MATCH(0,$J$5:$T$5,0)=COUNTA($J5:S5))*(-$I$19)</f>
        <v>0</v>
      </c>
      <c r="T19" s="108">
        <f>(MATCH(0,$J$5:$T$5,0)=COUNTA($J5:T5))*(-$I$19)</f>
        <v>0</v>
      </c>
      <c r="U19" s="105"/>
      <c r="V19" s="109">
        <f>SUM(I19:T19)</f>
        <v>0</v>
      </c>
    </row>
    <row r="20" spans="1:23">
      <c r="B20" s="88" t="s">
        <v>140</v>
      </c>
      <c r="C20" s="110">
        <v>0</v>
      </c>
      <c r="E20" s="88" t="s">
        <v>140</v>
      </c>
      <c r="F20" s="106">
        <v>0</v>
      </c>
      <c r="H20" s="88" t="s">
        <v>72</v>
      </c>
      <c r="I20" s="108"/>
      <c r="J20" s="108">
        <f t="shared" ref="J20:T20" si="10">I11*$C$14*$C$27</f>
        <v>0</v>
      </c>
      <c r="K20" s="108">
        <f t="shared" si="10"/>
        <v>0</v>
      </c>
      <c r="L20" s="108">
        <f t="shared" si="10"/>
        <v>0</v>
      </c>
      <c r="M20" s="108">
        <f t="shared" si="10"/>
        <v>0</v>
      </c>
      <c r="N20" s="108">
        <f t="shared" si="10"/>
        <v>0</v>
      </c>
      <c r="O20" s="108">
        <f t="shared" si="10"/>
        <v>0</v>
      </c>
      <c r="P20" s="108">
        <f t="shared" si="10"/>
        <v>0</v>
      </c>
      <c r="Q20" s="108">
        <f t="shared" si="10"/>
        <v>0</v>
      </c>
      <c r="R20" s="108">
        <f t="shared" si="10"/>
        <v>0</v>
      </c>
      <c r="S20" s="108">
        <f t="shared" si="10"/>
        <v>0</v>
      </c>
      <c r="T20" s="108">
        <f t="shared" si="10"/>
        <v>0</v>
      </c>
      <c r="U20" s="111"/>
      <c r="V20" s="109">
        <f>SUM(I20:T20)</f>
        <v>0</v>
      </c>
    </row>
    <row r="21" spans="1:23">
      <c r="B21" s="88" t="s">
        <v>141</v>
      </c>
      <c r="C21" s="106">
        <v>0</v>
      </c>
      <c r="E21" s="88" t="s">
        <v>142</v>
      </c>
      <c r="F21" s="106">
        <v>325000</v>
      </c>
      <c r="H21" s="88" t="s">
        <v>74</v>
      </c>
      <c r="I21" s="112"/>
      <c r="J21" s="112">
        <f t="shared" ref="J21:T21" si="11">I16*$F$14*$F$28</f>
        <v>0</v>
      </c>
      <c r="K21" s="112">
        <f t="shared" si="11"/>
        <v>0</v>
      </c>
      <c r="L21" s="112">
        <f t="shared" si="11"/>
        <v>0</v>
      </c>
      <c r="M21" s="112">
        <f t="shared" si="11"/>
        <v>0</v>
      </c>
      <c r="N21" s="112">
        <f t="shared" si="11"/>
        <v>0</v>
      </c>
      <c r="O21" s="112">
        <f t="shared" si="11"/>
        <v>0</v>
      </c>
      <c r="P21" s="112">
        <f t="shared" si="11"/>
        <v>0</v>
      </c>
      <c r="Q21" s="112">
        <f t="shared" si="11"/>
        <v>0</v>
      </c>
      <c r="R21" s="112">
        <f t="shared" si="11"/>
        <v>0</v>
      </c>
      <c r="S21" s="112">
        <f t="shared" si="11"/>
        <v>0</v>
      </c>
      <c r="T21" s="112">
        <f t="shared" si="11"/>
        <v>0</v>
      </c>
      <c r="U21" s="105"/>
      <c r="V21" s="113">
        <f>SUM(I21:T21)</f>
        <v>0</v>
      </c>
    </row>
    <row r="22" spans="1:23">
      <c r="B22" s="88" t="s">
        <v>143</v>
      </c>
      <c r="C22" s="106">
        <v>410000</v>
      </c>
      <c r="E22" s="76"/>
      <c r="F22" s="76"/>
      <c r="H22" s="114" t="s">
        <v>77</v>
      </c>
      <c r="I22" s="115">
        <f>SUM(I19:I21)</f>
        <v>0</v>
      </c>
      <c r="J22" s="115">
        <f t="shared" ref="J22:T22" si="12">SUM(J19:J21)</f>
        <v>0</v>
      </c>
      <c r="K22" s="115">
        <f t="shared" si="12"/>
        <v>0</v>
      </c>
      <c r="L22" s="115">
        <f t="shared" si="12"/>
        <v>0</v>
      </c>
      <c r="M22" s="115">
        <f t="shared" si="12"/>
        <v>0</v>
      </c>
      <c r="N22" s="115">
        <f t="shared" si="12"/>
        <v>0</v>
      </c>
      <c r="O22" s="115">
        <f t="shared" si="12"/>
        <v>0</v>
      </c>
      <c r="P22" s="115">
        <f t="shared" si="12"/>
        <v>0</v>
      </c>
      <c r="Q22" s="115">
        <f t="shared" si="12"/>
        <v>0</v>
      </c>
      <c r="R22" s="115">
        <f t="shared" si="12"/>
        <v>0</v>
      </c>
      <c r="S22" s="115">
        <f t="shared" si="12"/>
        <v>0</v>
      </c>
      <c r="T22" s="115">
        <f t="shared" si="12"/>
        <v>0</v>
      </c>
      <c r="U22" s="105"/>
      <c r="V22" s="109">
        <f>SUM(V19:V21)</f>
        <v>0</v>
      </c>
    </row>
    <row r="23" spans="1:23">
      <c r="B23" s="88" t="s">
        <v>144</v>
      </c>
      <c r="C23" s="106">
        <v>0</v>
      </c>
    </row>
    <row r="24" spans="1:23">
      <c r="H24" s="116" t="s">
        <v>81</v>
      </c>
      <c r="I24" s="117" t="str">
        <f t="shared" ref="I24:T24" si="13">I$4</f>
        <v>Yr 1</v>
      </c>
      <c r="J24" s="117" t="str">
        <f t="shared" si="13"/>
        <v>Yr 2</v>
      </c>
      <c r="K24" s="117" t="str">
        <f t="shared" si="13"/>
        <v>Yr 3</v>
      </c>
      <c r="L24" s="117" t="str">
        <f t="shared" si="13"/>
        <v>Yr 4</v>
      </c>
      <c r="M24" s="117" t="str">
        <f t="shared" si="13"/>
        <v>Yr 5</v>
      </c>
      <c r="N24" s="117" t="str">
        <f t="shared" si="13"/>
        <v>Yr 6</v>
      </c>
      <c r="O24" s="117" t="str">
        <f t="shared" si="13"/>
        <v>Yr 7</v>
      </c>
      <c r="P24" s="117" t="str">
        <f t="shared" si="13"/>
        <v>Yr 8</v>
      </c>
      <c r="Q24" s="117" t="str">
        <f t="shared" si="13"/>
        <v>Yr 9</v>
      </c>
      <c r="R24" s="117" t="str">
        <f t="shared" si="13"/>
        <v>Yr 10</v>
      </c>
      <c r="S24" s="117" t="str">
        <f t="shared" si="13"/>
        <v>Yr 11</v>
      </c>
      <c r="T24" s="117" t="str">
        <f t="shared" si="13"/>
        <v>Yr 12</v>
      </c>
      <c r="U24" s="111"/>
      <c r="V24" s="118" t="s">
        <v>20</v>
      </c>
    </row>
    <row r="25" spans="1:23" s="120" customFormat="1">
      <c r="A25" s="75"/>
      <c r="B25" s="86" t="s">
        <v>70</v>
      </c>
      <c r="C25" s="125"/>
      <c r="D25" s="75"/>
      <c r="E25" s="86" t="s">
        <v>70</v>
      </c>
      <c r="F25" s="124"/>
      <c r="G25" s="75"/>
      <c r="H25" s="83" t="s">
        <v>23</v>
      </c>
      <c r="I25" s="119"/>
      <c r="J25" s="119"/>
      <c r="K25" s="119"/>
      <c r="L25" s="119"/>
      <c r="M25" s="119"/>
      <c r="N25" s="119"/>
      <c r="O25" s="119"/>
      <c r="P25" s="119"/>
      <c r="Q25" s="119"/>
      <c r="R25" s="119"/>
      <c r="S25" s="119"/>
      <c r="T25" s="119"/>
      <c r="U25" s="119"/>
      <c r="V25" s="119"/>
    </row>
    <row r="26" spans="1:23">
      <c r="B26" s="88" t="s">
        <v>73</v>
      </c>
      <c r="C26" s="127">
        <f>C28/12</f>
        <v>0</v>
      </c>
      <c r="E26" s="88" t="s">
        <v>73</v>
      </c>
      <c r="F26" s="126">
        <v>0</v>
      </c>
      <c r="H26" s="88" t="s">
        <v>145</v>
      </c>
      <c r="I26" s="111">
        <f t="shared" ref="I26:T26" si="14">I7*$C$19</f>
        <v>33000000000</v>
      </c>
      <c r="J26" s="111">
        <f t="shared" si="14"/>
        <v>46200000000.000008</v>
      </c>
      <c r="K26" s="111">
        <f t="shared" si="14"/>
        <v>66000000000</v>
      </c>
      <c r="L26" s="111">
        <f t="shared" si="14"/>
        <v>79200000000</v>
      </c>
      <c r="M26" s="111">
        <f t="shared" si="14"/>
        <v>118800000000</v>
      </c>
      <c r="N26" s="111">
        <f t="shared" si="14"/>
        <v>105600000000</v>
      </c>
      <c r="O26" s="111">
        <f t="shared" si="14"/>
        <v>79200000000</v>
      </c>
      <c r="P26" s="111">
        <f t="shared" si="14"/>
        <v>66000000000</v>
      </c>
      <c r="Q26" s="111">
        <f t="shared" si="14"/>
        <v>46200000000.000008</v>
      </c>
      <c r="R26" s="111">
        <f t="shared" si="14"/>
        <v>19800000000</v>
      </c>
      <c r="S26" s="111">
        <f t="shared" si="14"/>
        <v>0</v>
      </c>
      <c r="T26" s="111">
        <f t="shared" si="14"/>
        <v>0</v>
      </c>
      <c r="U26" s="105"/>
      <c r="V26" s="109">
        <f t="shared" ref="V26:V32" si="15">SUM(I26:T26)</f>
        <v>660000000000</v>
      </c>
      <c r="W26" s="75">
        <f>ROUND(V26/8300,-6)</f>
        <v>80000000</v>
      </c>
    </row>
    <row r="27" spans="1:23">
      <c r="B27" s="88" t="s">
        <v>75</v>
      </c>
      <c r="C27" s="127">
        <f>C28/4</f>
        <v>0</v>
      </c>
      <c r="E27" s="88"/>
      <c r="F27" s="126"/>
      <c r="H27" s="88" t="s">
        <v>146</v>
      </c>
      <c r="I27" s="111">
        <f t="shared" ref="I27:T27" si="16">I8*$C$20</f>
        <v>0</v>
      </c>
      <c r="J27" s="111">
        <f t="shared" si="16"/>
        <v>0</v>
      </c>
      <c r="K27" s="111">
        <f t="shared" si="16"/>
        <v>0</v>
      </c>
      <c r="L27" s="111">
        <f t="shared" si="16"/>
        <v>0</v>
      </c>
      <c r="M27" s="111">
        <f t="shared" si="16"/>
        <v>0</v>
      </c>
      <c r="N27" s="111">
        <f t="shared" si="16"/>
        <v>0</v>
      </c>
      <c r="O27" s="111">
        <f t="shared" si="16"/>
        <v>0</v>
      </c>
      <c r="P27" s="111">
        <f t="shared" si="16"/>
        <v>0</v>
      </c>
      <c r="Q27" s="111">
        <f t="shared" si="16"/>
        <v>0</v>
      </c>
      <c r="R27" s="111">
        <f t="shared" si="16"/>
        <v>0</v>
      </c>
      <c r="S27" s="111">
        <f t="shared" si="16"/>
        <v>0</v>
      </c>
      <c r="T27" s="111">
        <f t="shared" si="16"/>
        <v>0</v>
      </c>
      <c r="U27" s="105"/>
      <c r="V27" s="109">
        <f t="shared" si="15"/>
        <v>0</v>
      </c>
    </row>
    <row r="28" spans="1:23">
      <c r="B28" s="88" t="s">
        <v>78</v>
      </c>
      <c r="C28" s="128">
        <v>0</v>
      </c>
      <c r="E28" s="88" t="s">
        <v>149</v>
      </c>
      <c r="F28" s="128">
        <v>0</v>
      </c>
      <c r="H28" s="88" t="s">
        <v>141</v>
      </c>
      <c r="I28" s="111">
        <f t="shared" ref="I28:T28" si="17">I8*$C$21</f>
        <v>0</v>
      </c>
      <c r="J28" s="111">
        <f t="shared" si="17"/>
        <v>0</v>
      </c>
      <c r="K28" s="111">
        <f t="shared" si="17"/>
        <v>0</v>
      </c>
      <c r="L28" s="111">
        <f t="shared" si="17"/>
        <v>0</v>
      </c>
      <c r="M28" s="111">
        <f t="shared" si="17"/>
        <v>0</v>
      </c>
      <c r="N28" s="111">
        <f t="shared" si="17"/>
        <v>0</v>
      </c>
      <c r="O28" s="111">
        <f t="shared" si="17"/>
        <v>0</v>
      </c>
      <c r="P28" s="111">
        <f t="shared" si="17"/>
        <v>0</v>
      </c>
      <c r="Q28" s="111">
        <f t="shared" si="17"/>
        <v>0</v>
      </c>
      <c r="R28" s="111">
        <f t="shared" si="17"/>
        <v>0</v>
      </c>
      <c r="S28" s="111">
        <f t="shared" si="17"/>
        <v>0</v>
      </c>
      <c r="T28" s="111">
        <f t="shared" si="17"/>
        <v>0</v>
      </c>
      <c r="U28" s="105"/>
      <c r="V28" s="109">
        <f t="shared" si="15"/>
        <v>0</v>
      </c>
    </row>
    <row r="29" spans="1:23">
      <c r="B29" s="88" t="s">
        <v>80</v>
      </c>
      <c r="C29" s="127">
        <f>$V$41/(AVERAGE(I11:R11)*$C$14)</f>
        <v>53771600.933136389</v>
      </c>
      <c r="E29" s="88" t="s">
        <v>150</v>
      </c>
      <c r="F29" s="129">
        <f>$V$42/($F$13*$F$14)</f>
        <v>5296616.6413373854</v>
      </c>
      <c r="H29" s="88" t="s">
        <v>143</v>
      </c>
      <c r="I29" s="111">
        <f t="shared" ref="I29:T29" si="18">I9*$C$22</f>
        <v>36080000000</v>
      </c>
      <c r="J29" s="111">
        <f t="shared" si="18"/>
        <v>50512000000.000008</v>
      </c>
      <c r="K29" s="111">
        <f t="shared" si="18"/>
        <v>72160000000</v>
      </c>
      <c r="L29" s="111">
        <f t="shared" si="18"/>
        <v>86592000000</v>
      </c>
      <c r="M29" s="111">
        <f t="shared" si="18"/>
        <v>129888000000</v>
      </c>
      <c r="N29" s="111">
        <f t="shared" si="18"/>
        <v>115456000000</v>
      </c>
      <c r="O29" s="111">
        <f t="shared" si="18"/>
        <v>86592000000</v>
      </c>
      <c r="P29" s="111">
        <f t="shared" si="18"/>
        <v>72160000000</v>
      </c>
      <c r="Q29" s="111">
        <f t="shared" si="18"/>
        <v>50512000000.000008</v>
      </c>
      <c r="R29" s="111">
        <f t="shared" si="18"/>
        <v>21648000000</v>
      </c>
      <c r="S29" s="111">
        <f t="shared" si="18"/>
        <v>0</v>
      </c>
      <c r="T29" s="111">
        <f t="shared" si="18"/>
        <v>0</v>
      </c>
      <c r="V29" s="109">
        <f t="shared" si="15"/>
        <v>721600000000</v>
      </c>
      <c r="W29" s="75">
        <f t="shared" ref="W29:W39" si="19">ROUND(V29/8300,-6)</f>
        <v>87000000</v>
      </c>
    </row>
    <row r="30" spans="1:23">
      <c r="H30" s="88" t="s">
        <v>147</v>
      </c>
      <c r="I30" s="111">
        <f t="shared" ref="I30:T30" si="20">I9*$C$23</f>
        <v>0</v>
      </c>
      <c r="J30" s="111">
        <f t="shared" si="20"/>
        <v>0</v>
      </c>
      <c r="K30" s="111">
        <f t="shared" si="20"/>
        <v>0</v>
      </c>
      <c r="L30" s="111">
        <f t="shared" si="20"/>
        <v>0</v>
      </c>
      <c r="M30" s="111">
        <f t="shared" si="20"/>
        <v>0</v>
      </c>
      <c r="N30" s="111">
        <f t="shared" si="20"/>
        <v>0</v>
      </c>
      <c r="O30" s="111">
        <f t="shared" si="20"/>
        <v>0</v>
      </c>
      <c r="P30" s="111">
        <f t="shared" si="20"/>
        <v>0</v>
      </c>
      <c r="Q30" s="111">
        <f t="shared" si="20"/>
        <v>0</v>
      </c>
      <c r="R30" s="111">
        <f t="shared" si="20"/>
        <v>0</v>
      </c>
      <c r="S30" s="111">
        <f t="shared" si="20"/>
        <v>0</v>
      </c>
      <c r="T30" s="111">
        <f t="shared" si="20"/>
        <v>0</v>
      </c>
      <c r="U30" s="105"/>
      <c r="V30" s="109">
        <f t="shared" si="15"/>
        <v>0</v>
      </c>
    </row>
    <row r="31" spans="1:23">
      <c r="B31" s="131" t="s">
        <v>87</v>
      </c>
      <c r="C31" s="127">
        <v>2222</v>
      </c>
      <c r="H31" s="88" t="s">
        <v>89</v>
      </c>
      <c r="I31" s="121">
        <f>I11*$C$18*3</f>
        <v>123998730240.00003</v>
      </c>
      <c r="J31" s="122">
        <f>J11*$C$18*3</f>
        <v>297596952576.00012</v>
      </c>
      <c r="K31" s="121">
        <f>K11*$C$18*3</f>
        <v>545594413056.00012</v>
      </c>
      <c r="L31" s="121">
        <f>L11*$C$18*3</f>
        <v>843191365632</v>
      </c>
      <c r="M31" s="121">
        <f t="shared" ref="M31:T31" si="21">M11*$C$18</f>
        <v>429862264832.00006</v>
      </c>
      <c r="N31" s="121">
        <f t="shared" si="21"/>
        <v>562127577088</v>
      </c>
      <c r="O31" s="121">
        <f t="shared" si="21"/>
        <v>661326561280</v>
      </c>
      <c r="P31" s="121">
        <f t="shared" si="21"/>
        <v>743992381440.00012</v>
      </c>
      <c r="Q31" s="121">
        <f t="shared" si="21"/>
        <v>801858455552.00012</v>
      </c>
      <c r="R31" s="121">
        <f t="shared" si="21"/>
        <v>826658201600.00024</v>
      </c>
      <c r="S31" s="121">
        <f t="shared" si="21"/>
        <v>0</v>
      </c>
      <c r="T31" s="121">
        <f t="shared" si="21"/>
        <v>0</v>
      </c>
      <c r="U31" s="105"/>
      <c r="V31" s="113">
        <f t="shared" si="15"/>
        <v>5836206903296.001</v>
      </c>
      <c r="W31" s="75">
        <f t="shared" si="19"/>
        <v>703000000</v>
      </c>
    </row>
    <row r="32" spans="1:23">
      <c r="B32" s="131" t="s">
        <v>90</v>
      </c>
      <c r="C32" s="127">
        <f>C31/2</f>
        <v>1111</v>
      </c>
      <c r="H32" s="123" t="s">
        <v>92</v>
      </c>
      <c r="I32" s="115">
        <f t="shared" ref="I32:T32" si="22">SUM(I26:I31)</f>
        <v>193078730240.00003</v>
      </c>
      <c r="J32" s="115">
        <f>SUM(J26:J31)</f>
        <v>394308952576.00012</v>
      </c>
      <c r="K32" s="115">
        <f t="shared" si="22"/>
        <v>683754413056.00012</v>
      </c>
      <c r="L32" s="115">
        <f t="shared" si="22"/>
        <v>1008983365632</v>
      </c>
      <c r="M32" s="115">
        <f t="shared" si="22"/>
        <v>678550264832</v>
      </c>
      <c r="N32" s="115">
        <f t="shared" si="22"/>
        <v>783183577088</v>
      </c>
      <c r="O32" s="115">
        <f t="shared" si="22"/>
        <v>827118561280</v>
      </c>
      <c r="P32" s="115">
        <f t="shared" si="22"/>
        <v>882152381440.00012</v>
      </c>
      <c r="Q32" s="115">
        <f t="shared" si="22"/>
        <v>898570455552.00012</v>
      </c>
      <c r="R32" s="115">
        <f t="shared" si="22"/>
        <v>868106201600.00024</v>
      </c>
      <c r="S32" s="115">
        <f t="shared" si="22"/>
        <v>0</v>
      </c>
      <c r="T32" s="115">
        <f t="shared" si="22"/>
        <v>0</v>
      </c>
      <c r="V32" s="109">
        <f t="shared" si="15"/>
        <v>7217806903296</v>
      </c>
      <c r="W32" s="75">
        <f t="shared" si="19"/>
        <v>870000000</v>
      </c>
    </row>
    <row r="33" spans="2:26">
      <c r="B33" s="131" t="s">
        <v>93</v>
      </c>
      <c r="C33" s="132">
        <v>5.2</v>
      </c>
      <c r="H33" s="83" t="s">
        <v>52</v>
      </c>
      <c r="I33" s="120"/>
      <c r="J33" s="120"/>
      <c r="K33" s="120"/>
      <c r="L33" s="120"/>
      <c r="M33" s="120"/>
      <c r="N33" s="120"/>
      <c r="O33" s="120"/>
      <c r="P33" s="120"/>
      <c r="Q33" s="120"/>
      <c r="R33" s="120"/>
      <c r="S33" s="120"/>
      <c r="T33" s="120"/>
      <c r="U33" s="120"/>
      <c r="V33" s="120"/>
    </row>
    <row r="34" spans="2:26">
      <c r="B34" s="131" t="s">
        <v>95</v>
      </c>
      <c r="C34" s="127">
        <f>C33*C32</f>
        <v>5777.2</v>
      </c>
      <c r="H34" s="88" t="s">
        <v>145</v>
      </c>
      <c r="I34" s="111">
        <f t="shared" ref="I34:T34" si="23">I13*$F$19</f>
        <v>16500000000</v>
      </c>
      <c r="J34" s="111">
        <f t="shared" si="23"/>
        <v>23100000000.000004</v>
      </c>
      <c r="K34" s="111">
        <f t="shared" si="23"/>
        <v>33000000000</v>
      </c>
      <c r="L34" s="111">
        <f t="shared" si="23"/>
        <v>39600000000</v>
      </c>
      <c r="M34" s="111">
        <f t="shared" si="23"/>
        <v>59400000000</v>
      </c>
      <c r="N34" s="111">
        <f t="shared" si="23"/>
        <v>52800000000</v>
      </c>
      <c r="O34" s="111">
        <f t="shared" si="23"/>
        <v>39600000000</v>
      </c>
      <c r="P34" s="111">
        <f t="shared" si="23"/>
        <v>33000000000</v>
      </c>
      <c r="Q34" s="111">
        <f t="shared" si="23"/>
        <v>23100000000.000004</v>
      </c>
      <c r="R34" s="111">
        <f t="shared" si="23"/>
        <v>9900000000</v>
      </c>
      <c r="S34" s="111">
        <f t="shared" si="23"/>
        <v>0</v>
      </c>
      <c r="T34" s="111">
        <f t="shared" si="23"/>
        <v>0</v>
      </c>
      <c r="U34" s="105"/>
      <c r="V34" s="109">
        <f t="shared" ref="V34:V39" si="24">SUM(I34:T34)</f>
        <v>330000000000</v>
      </c>
      <c r="W34" s="75">
        <f t="shared" si="19"/>
        <v>40000000</v>
      </c>
    </row>
    <row r="35" spans="2:26">
      <c r="B35" s="131" t="s">
        <v>94</v>
      </c>
      <c r="C35" s="127">
        <f>2/5*C34*0.4</f>
        <v>924.35200000000009</v>
      </c>
      <c r="H35" s="88" t="s">
        <v>146</v>
      </c>
      <c r="I35" s="111">
        <f t="shared" ref="I35:T35" si="25">I14*$F$20</f>
        <v>0</v>
      </c>
      <c r="J35" s="111">
        <f t="shared" si="25"/>
        <v>0</v>
      </c>
      <c r="K35" s="111">
        <f t="shared" si="25"/>
        <v>0</v>
      </c>
      <c r="L35" s="111">
        <f t="shared" si="25"/>
        <v>0</v>
      </c>
      <c r="M35" s="111">
        <f t="shared" si="25"/>
        <v>0</v>
      </c>
      <c r="N35" s="111">
        <f t="shared" si="25"/>
        <v>0</v>
      </c>
      <c r="O35" s="111">
        <f t="shared" si="25"/>
        <v>0</v>
      </c>
      <c r="P35" s="111">
        <f t="shared" si="25"/>
        <v>0</v>
      </c>
      <c r="Q35" s="111">
        <f t="shared" si="25"/>
        <v>0</v>
      </c>
      <c r="R35" s="111">
        <f t="shared" si="25"/>
        <v>0</v>
      </c>
      <c r="S35" s="111">
        <f t="shared" si="25"/>
        <v>0</v>
      </c>
      <c r="T35" s="111">
        <f t="shared" si="25"/>
        <v>0</v>
      </c>
      <c r="U35" s="105"/>
      <c r="V35" s="109">
        <f t="shared" si="24"/>
        <v>0</v>
      </c>
    </row>
    <row r="36" spans="2:26">
      <c r="H36" s="88" t="s">
        <v>148</v>
      </c>
      <c r="I36" s="111">
        <f>I15*$F$21+I16*$F$21</f>
        <v>37445571428.571426</v>
      </c>
      <c r="J36" s="111">
        <f t="shared" ref="J36:T36" si="26">J15*$F$21+J16*$F$21</f>
        <v>52423800000</v>
      </c>
      <c r="K36" s="111">
        <f t="shared" si="26"/>
        <v>74891142857.142853</v>
      </c>
      <c r="L36" s="111">
        <f t="shared" si="26"/>
        <v>89869371428.571426</v>
      </c>
      <c r="M36" s="111">
        <f t="shared" si="26"/>
        <v>134804057142.85712</v>
      </c>
      <c r="N36" s="111">
        <f t="shared" si="26"/>
        <v>119825828571.42856</v>
      </c>
      <c r="O36" s="111">
        <f t="shared" si="26"/>
        <v>89869371428.571426</v>
      </c>
      <c r="P36" s="111">
        <f t="shared" si="26"/>
        <v>74891142857.142853</v>
      </c>
      <c r="Q36" s="111">
        <f t="shared" si="26"/>
        <v>52423800000</v>
      </c>
      <c r="R36" s="111">
        <f t="shared" si="26"/>
        <v>22467342857.142857</v>
      </c>
      <c r="S36" s="111">
        <f t="shared" si="26"/>
        <v>0</v>
      </c>
      <c r="T36" s="111">
        <f t="shared" si="26"/>
        <v>0</v>
      </c>
      <c r="U36" s="105"/>
      <c r="V36" s="109">
        <f t="shared" si="24"/>
        <v>748911428571.42847</v>
      </c>
      <c r="W36" s="75">
        <f t="shared" si="19"/>
        <v>90000000</v>
      </c>
    </row>
    <row r="37" spans="2:26">
      <c r="B37" s="131" t="s">
        <v>153</v>
      </c>
      <c r="C37" s="135">
        <v>1</v>
      </c>
      <c r="H37" s="88" t="s">
        <v>89</v>
      </c>
      <c r="I37" s="121">
        <f t="shared" ref="I37:T37" si="27">I16*$F$18</f>
        <v>121308880000</v>
      </c>
      <c r="J37" s="121">
        <f t="shared" si="27"/>
        <v>169832432000</v>
      </c>
      <c r="K37" s="121">
        <f t="shared" si="27"/>
        <v>242617760000</v>
      </c>
      <c r="L37" s="121">
        <f t="shared" si="27"/>
        <v>291141311999.99994</v>
      </c>
      <c r="M37" s="121">
        <f t="shared" si="27"/>
        <v>436711967999.99994</v>
      </c>
      <c r="N37" s="121">
        <f t="shared" si="27"/>
        <v>388188415999.99994</v>
      </c>
      <c r="O37" s="121">
        <f t="shared" si="27"/>
        <v>291141311999.99994</v>
      </c>
      <c r="P37" s="121">
        <f t="shared" si="27"/>
        <v>242617760000</v>
      </c>
      <c r="Q37" s="121">
        <f t="shared" si="27"/>
        <v>169832432000</v>
      </c>
      <c r="R37" s="121">
        <f t="shared" si="27"/>
        <v>72785327999.999985</v>
      </c>
      <c r="S37" s="121">
        <f t="shared" si="27"/>
        <v>0</v>
      </c>
      <c r="T37" s="121">
        <f t="shared" si="27"/>
        <v>0</v>
      </c>
      <c r="U37" s="105"/>
      <c r="V37" s="113">
        <f t="shared" si="24"/>
        <v>2426177600000</v>
      </c>
      <c r="W37" s="75">
        <f t="shared" si="19"/>
        <v>292000000</v>
      </c>
    </row>
    <row r="38" spans="2:26">
      <c r="H38" s="123" t="s">
        <v>101</v>
      </c>
      <c r="I38" s="115">
        <f t="shared" ref="I38:T38" si="28">SUM(I34:I37)</f>
        <v>175254451428.57141</v>
      </c>
      <c r="J38" s="115">
        <f t="shared" si="28"/>
        <v>245356232000</v>
      </c>
      <c r="K38" s="115">
        <f t="shared" si="28"/>
        <v>350508902857.14282</v>
      </c>
      <c r="L38" s="115">
        <f t="shared" si="28"/>
        <v>420610683428.57135</v>
      </c>
      <c r="M38" s="115">
        <f t="shared" si="28"/>
        <v>630916025142.85706</v>
      </c>
      <c r="N38" s="115">
        <f t="shared" si="28"/>
        <v>560814244571.42847</v>
      </c>
      <c r="O38" s="115">
        <f t="shared" si="28"/>
        <v>420610683428.57135</v>
      </c>
      <c r="P38" s="115">
        <f t="shared" si="28"/>
        <v>350508902857.14282</v>
      </c>
      <c r="Q38" s="115">
        <f t="shared" si="28"/>
        <v>245356232000</v>
      </c>
      <c r="R38" s="115">
        <f t="shared" si="28"/>
        <v>105152670857.14284</v>
      </c>
      <c r="S38" s="115">
        <f t="shared" si="28"/>
        <v>0</v>
      </c>
      <c r="T38" s="115">
        <f t="shared" si="28"/>
        <v>0</v>
      </c>
      <c r="V38" s="109">
        <f t="shared" si="24"/>
        <v>3505089028571.4282</v>
      </c>
      <c r="W38" s="75">
        <f t="shared" si="19"/>
        <v>422000000</v>
      </c>
    </row>
    <row r="39" spans="2:26">
      <c r="H39" s="114" t="s">
        <v>103</v>
      </c>
      <c r="I39" s="115">
        <f t="shared" ref="I39:T39" si="29">I38+I32</f>
        <v>368333181668.57141</v>
      </c>
      <c r="J39" s="115">
        <f t="shared" si="29"/>
        <v>639665184576.00012</v>
      </c>
      <c r="K39" s="115">
        <f t="shared" si="29"/>
        <v>1034263315913.1429</v>
      </c>
      <c r="L39" s="115">
        <f t="shared" si="29"/>
        <v>1429594049060.5713</v>
      </c>
      <c r="M39" s="115">
        <f t="shared" si="29"/>
        <v>1309466289974.8569</v>
      </c>
      <c r="N39" s="115">
        <f t="shared" si="29"/>
        <v>1343997821659.4285</v>
      </c>
      <c r="O39" s="115">
        <f t="shared" si="29"/>
        <v>1247729244708.5713</v>
      </c>
      <c r="P39" s="115">
        <f t="shared" si="29"/>
        <v>1232661284297.1431</v>
      </c>
      <c r="Q39" s="115">
        <f t="shared" si="29"/>
        <v>1143926687552</v>
      </c>
      <c r="R39" s="115">
        <f t="shared" si="29"/>
        <v>973258872457.14307</v>
      </c>
      <c r="S39" s="115">
        <f t="shared" si="29"/>
        <v>0</v>
      </c>
      <c r="T39" s="115">
        <f t="shared" si="29"/>
        <v>0</v>
      </c>
      <c r="U39" s="76"/>
      <c r="V39" s="130">
        <f t="shared" si="24"/>
        <v>10722895931867.428</v>
      </c>
      <c r="W39" s="75">
        <f t="shared" si="19"/>
        <v>1292000000</v>
      </c>
      <c r="X39" s="76"/>
      <c r="Y39" s="76"/>
    </row>
    <row r="40" spans="2:26" ht="15" customHeight="1">
      <c r="H40" s="76"/>
      <c r="I40" s="76"/>
      <c r="J40" s="76"/>
      <c r="K40" s="76"/>
      <c r="L40" s="76"/>
      <c r="M40" s="76"/>
      <c r="N40" s="76"/>
      <c r="O40" s="76"/>
      <c r="P40" s="76"/>
      <c r="Q40" s="76"/>
      <c r="R40" s="76"/>
      <c r="S40" s="76"/>
      <c r="T40" s="76"/>
      <c r="U40" s="76"/>
      <c r="V40" s="76"/>
      <c r="X40" s="149"/>
      <c r="Y40" s="150" t="s">
        <v>151</v>
      </c>
      <c r="Z40" s="150" t="s">
        <v>152</v>
      </c>
    </row>
    <row r="41" spans="2:26" ht="15" customHeight="1">
      <c r="H41" s="136" t="s">
        <v>112</v>
      </c>
      <c r="I41" s="115">
        <f t="shared" ref="I41:T41" si="30">I32</f>
        <v>193078730240.00003</v>
      </c>
      <c r="J41" s="115">
        <f t="shared" si="30"/>
        <v>394308952576.00012</v>
      </c>
      <c r="K41" s="115">
        <f t="shared" si="30"/>
        <v>683754413056.00012</v>
      </c>
      <c r="L41" s="115">
        <f t="shared" si="30"/>
        <v>1008983365632</v>
      </c>
      <c r="M41" s="115">
        <f t="shared" si="30"/>
        <v>678550264832</v>
      </c>
      <c r="N41" s="115">
        <f t="shared" si="30"/>
        <v>783183577088</v>
      </c>
      <c r="O41" s="115">
        <f t="shared" si="30"/>
        <v>827118561280</v>
      </c>
      <c r="P41" s="115">
        <f t="shared" si="30"/>
        <v>882152381440.00012</v>
      </c>
      <c r="Q41" s="115">
        <f t="shared" si="30"/>
        <v>898570455552.00012</v>
      </c>
      <c r="R41" s="115">
        <f t="shared" si="30"/>
        <v>868106201600.00024</v>
      </c>
      <c r="S41" s="115">
        <f t="shared" si="30"/>
        <v>0</v>
      </c>
      <c r="T41" s="115">
        <f t="shared" si="30"/>
        <v>0</v>
      </c>
      <c r="U41" s="76"/>
      <c r="V41" s="130">
        <f>SUM(I41:T41)</f>
        <v>7217806903296</v>
      </c>
      <c r="W41" s="135">
        <f>ROUND(V41,-11)</f>
        <v>7200000000000</v>
      </c>
      <c r="X41" s="150" t="s">
        <v>23</v>
      </c>
      <c r="Y41" s="151">
        <v>7200000000000</v>
      </c>
      <c r="Z41" s="151">
        <v>9200000000000</v>
      </c>
    </row>
    <row r="42" spans="2:26" ht="15" customHeight="1">
      <c r="H42" s="136" t="s">
        <v>113</v>
      </c>
      <c r="I42" s="133">
        <f>I38</f>
        <v>175254451428.57141</v>
      </c>
      <c r="J42" s="133">
        <f t="shared" ref="J42:T42" si="31">J38</f>
        <v>245356232000</v>
      </c>
      <c r="K42" s="133">
        <f t="shared" si="31"/>
        <v>350508902857.14282</v>
      </c>
      <c r="L42" s="133">
        <f t="shared" si="31"/>
        <v>420610683428.57135</v>
      </c>
      <c r="M42" s="133">
        <f t="shared" si="31"/>
        <v>630916025142.85706</v>
      </c>
      <c r="N42" s="133">
        <f t="shared" si="31"/>
        <v>560814244571.42847</v>
      </c>
      <c r="O42" s="133">
        <f t="shared" si="31"/>
        <v>420610683428.57135</v>
      </c>
      <c r="P42" s="133">
        <f t="shared" si="31"/>
        <v>350508902857.14282</v>
      </c>
      <c r="Q42" s="133">
        <f t="shared" si="31"/>
        <v>245356232000</v>
      </c>
      <c r="R42" s="133">
        <f t="shared" si="31"/>
        <v>105152670857.14284</v>
      </c>
      <c r="S42" s="133">
        <f t="shared" si="31"/>
        <v>0</v>
      </c>
      <c r="T42" s="133">
        <f t="shared" si="31"/>
        <v>0</v>
      </c>
      <c r="U42" s="76"/>
      <c r="V42" s="113">
        <f>SUM(I42:T42)</f>
        <v>3505089028571.4282</v>
      </c>
      <c r="W42" s="135">
        <f>ROUND(V42,-11)</f>
        <v>3500000000000</v>
      </c>
      <c r="X42" s="150" t="s">
        <v>52</v>
      </c>
      <c r="Y42" s="151">
        <v>3500000000000</v>
      </c>
      <c r="Z42" s="151">
        <v>5500000000000</v>
      </c>
    </row>
    <row r="43" spans="2:26" ht="15" customHeight="1">
      <c r="H43" s="88" t="s">
        <v>116</v>
      </c>
      <c r="I43" s="115">
        <f>I39</f>
        <v>368333181668.57141</v>
      </c>
      <c r="J43" s="115">
        <f t="shared" ref="J43:T43" si="32">J39</f>
        <v>639665184576.00012</v>
      </c>
      <c r="K43" s="115">
        <f t="shared" si="32"/>
        <v>1034263315913.1429</v>
      </c>
      <c r="L43" s="115">
        <f t="shared" si="32"/>
        <v>1429594049060.5713</v>
      </c>
      <c r="M43" s="115">
        <f t="shared" si="32"/>
        <v>1309466289974.8569</v>
      </c>
      <c r="N43" s="115">
        <f t="shared" si="32"/>
        <v>1343997821659.4285</v>
      </c>
      <c r="O43" s="115">
        <f t="shared" si="32"/>
        <v>1247729244708.5713</v>
      </c>
      <c r="P43" s="115">
        <f t="shared" si="32"/>
        <v>1232661284297.1431</v>
      </c>
      <c r="Q43" s="115">
        <f t="shared" si="32"/>
        <v>1143926687552</v>
      </c>
      <c r="R43" s="115">
        <f t="shared" si="32"/>
        <v>973258872457.14307</v>
      </c>
      <c r="S43" s="115">
        <f t="shared" si="32"/>
        <v>0</v>
      </c>
      <c r="T43" s="115">
        <f t="shared" si="32"/>
        <v>0</v>
      </c>
      <c r="U43" s="76"/>
      <c r="V43" s="130">
        <f>SUM(I43:T43)</f>
        <v>10722895931867.428</v>
      </c>
      <c r="W43" s="135">
        <f>ROUND(V43,-11)</f>
        <v>10700000000000</v>
      </c>
      <c r="X43" s="150" t="s">
        <v>20</v>
      </c>
      <c r="Y43" s="151">
        <v>10700000000000</v>
      </c>
      <c r="Z43" s="151">
        <v>14700000000000</v>
      </c>
    </row>
    <row r="44" spans="2:26" ht="15" customHeight="1">
      <c r="H44" s="88" t="s">
        <v>117</v>
      </c>
      <c r="I44" s="137">
        <f>I22-I43</f>
        <v>-368333181668.57141</v>
      </c>
      <c r="J44" s="137">
        <f t="shared" ref="J44:T44" si="33">I44+J22-J43</f>
        <v>-1007998366244.5715</v>
      </c>
      <c r="K44" s="137">
        <f t="shared" si="33"/>
        <v>-2042261682157.7144</v>
      </c>
      <c r="L44" s="137">
        <f t="shared" si="33"/>
        <v>-3471855731218.2856</v>
      </c>
      <c r="M44" s="137">
        <f t="shared" si="33"/>
        <v>-4781322021193.1426</v>
      </c>
      <c r="N44" s="137">
        <f t="shared" si="33"/>
        <v>-6125319842852.5713</v>
      </c>
      <c r="O44" s="137">
        <f t="shared" si="33"/>
        <v>-7373049087561.1426</v>
      </c>
      <c r="P44" s="137">
        <f t="shared" si="33"/>
        <v>-8605710371858.2852</v>
      </c>
      <c r="Q44" s="137">
        <f t="shared" si="33"/>
        <v>-9749637059410.2852</v>
      </c>
      <c r="R44" s="137">
        <f t="shared" si="33"/>
        <v>-10722895931867.428</v>
      </c>
      <c r="S44" s="137">
        <f t="shared" si="33"/>
        <v>-10722895931867.428</v>
      </c>
      <c r="T44" s="137">
        <f t="shared" si="33"/>
        <v>-10722895931867.428</v>
      </c>
      <c r="U44" s="76"/>
      <c r="V44" s="76"/>
      <c r="W44" s="127"/>
    </row>
    <row r="45" spans="2:26" ht="15" customHeight="1">
      <c r="Y45" s="134" t="s">
        <v>121</v>
      </c>
    </row>
    <row r="46" spans="2:26" ht="15" customHeight="1">
      <c r="H46" s="88" t="s">
        <v>118</v>
      </c>
      <c r="I46" s="165" t="s">
        <v>189</v>
      </c>
      <c r="X46" s="150" t="s">
        <v>23</v>
      </c>
      <c r="Y46" s="152">
        <f t="shared" ref="Y46:Z47" si="34">ROUND(Y41/8300,-6)</f>
        <v>867000000</v>
      </c>
      <c r="Z46" s="152">
        <f t="shared" si="34"/>
        <v>1108000000</v>
      </c>
    </row>
    <row r="47" spans="2:26" ht="15" customHeight="1">
      <c r="X47" s="150" t="s">
        <v>52</v>
      </c>
      <c r="Y47" s="152">
        <f t="shared" si="34"/>
        <v>422000000</v>
      </c>
      <c r="Z47" s="152">
        <f t="shared" si="34"/>
        <v>663000000</v>
      </c>
    </row>
    <row r="48" spans="2:26" ht="15" customHeight="1"/>
    <row r="49" ht="15" customHeight="1"/>
    <row r="50" ht="15" customHeight="1" outlineLevel="1"/>
    <row r="51" ht="15" customHeight="1" outlineLevel="1"/>
    <row r="52" ht="15" customHeight="1" outlineLevel="1"/>
    <row r="53" ht="15" customHeight="1" outlineLevel="1"/>
    <row r="54" ht="15" customHeight="1" outlineLevel="1"/>
    <row r="55" ht="15" customHeight="1" outlineLevel="1"/>
    <row r="56" ht="15" customHeight="1" outlineLevel="1"/>
    <row r="57" ht="15" customHeight="1" outlineLevel="1"/>
    <row r="58" ht="15" customHeight="1" outlineLevel="1"/>
    <row r="59" ht="15" customHeight="1" outlineLevel="1"/>
    <row r="60" ht="15" customHeight="1" outlineLevel="1"/>
    <row r="61" ht="15" customHeight="1" outlineLevel="1"/>
    <row r="62" ht="15" customHeight="1" outlineLevel="1"/>
    <row r="63" ht="15" customHeight="1" outlineLevel="1"/>
    <row r="64" ht="15" customHeight="1" outlineLevel="1"/>
    <row r="65" ht="15" customHeight="1" outlineLevel="1"/>
    <row r="66" ht="15" customHeight="1" outlineLevel="1"/>
    <row r="67" ht="15" customHeight="1" outlineLevel="1"/>
    <row r="68" ht="15" customHeight="1"/>
    <row r="69" ht="15" customHeight="1"/>
    <row r="70" ht="15" customHeight="1"/>
    <row r="71" ht="15" customHeight="1"/>
    <row r="72" ht="15" customHeight="1"/>
    <row r="73" ht="15" customHeight="1"/>
    <row r="74" ht="15" customHeight="1"/>
    <row r="75" ht="15" customHeight="1"/>
  </sheetData>
  <mergeCells count="2">
    <mergeCell ref="B4:C4"/>
    <mergeCell ref="E4:F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9F45-8EFB-984B-8543-AE4992F3C48F}">
  <dimension ref="B1:E22"/>
  <sheetViews>
    <sheetView showGridLines="0" zoomScale="140" zoomScaleNormal="140" workbookViewId="0">
      <selection activeCell="C29" sqref="C29"/>
    </sheetView>
  </sheetViews>
  <sheetFormatPr baseColWidth="10" defaultRowHeight="14"/>
  <cols>
    <col min="1" max="1" width="10.83203125" style="138"/>
    <col min="2" max="2" width="30" style="138" customWidth="1"/>
    <col min="3" max="3" width="33.1640625" style="138" customWidth="1"/>
    <col min="4" max="4" width="27.83203125" style="138" customWidth="1"/>
    <col min="5" max="5" width="44.83203125" style="138" customWidth="1"/>
    <col min="6" max="6" width="19.83203125" style="138" customWidth="1"/>
    <col min="7" max="7" width="21.5" style="138" customWidth="1"/>
    <col min="8" max="8" width="23" style="138" customWidth="1"/>
    <col min="9" max="9" width="3.1640625" style="138" customWidth="1"/>
    <col min="10" max="10" width="18.83203125" style="138" customWidth="1"/>
    <col min="11" max="11" width="21" style="138" customWidth="1"/>
    <col min="12" max="16384" width="10.83203125" style="138"/>
  </cols>
  <sheetData>
    <row r="1" spans="2:5">
      <c r="B1" s="183" t="s">
        <v>190</v>
      </c>
      <c r="C1" s="183"/>
      <c r="D1" s="183"/>
      <c r="E1" s="166"/>
    </row>
    <row r="2" spans="2:5">
      <c r="B2" s="139"/>
      <c r="C2" s="139"/>
      <c r="D2" s="139"/>
      <c r="E2" s="140"/>
    </row>
    <row r="3" spans="2:5" ht="30">
      <c r="B3" s="174"/>
      <c r="C3" s="173" t="s">
        <v>155</v>
      </c>
      <c r="D3" s="173" t="s">
        <v>169</v>
      </c>
      <c r="E3" s="140"/>
    </row>
    <row r="4" spans="2:5" s="141" customFormat="1">
      <c r="B4" s="175" t="s">
        <v>156</v>
      </c>
      <c r="C4" s="167" t="s">
        <v>191</v>
      </c>
      <c r="D4" s="167"/>
      <c r="E4" s="140"/>
    </row>
    <row r="5" spans="2:5" s="141" customFormat="1" ht="16">
      <c r="B5" s="176" t="s">
        <v>120</v>
      </c>
      <c r="C5" s="142" t="s">
        <v>192</v>
      </c>
      <c r="D5" s="142" t="s">
        <v>157</v>
      </c>
      <c r="E5" s="143" t="s">
        <v>158</v>
      </c>
    </row>
    <row r="6" spans="2:5" s="141" customFormat="1" ht="34">
      <c r="B6" s="176" t="s">
        <v>159</v>
      </c>
      <c r="C6" s="142" t="s">
        <v>193</v>
      </c>
      <c r="D6" s="142" t="s">
        <v>160</v>
      </c>
      <c r="E6" s="144" t="s">
        <v>161</v>
      </c>
    </row>
    <row r="7" spans="2:5" s="141" customFormat="1" ht="16">
      <c r="B7" s="176" t="s">
        <v>89</v>
      </c>
      <c r="C7" s="142" t="s">
        <v>194</v>
      </c>
      <c r="D7" s="142" t="s">
        <v>195</v>
      </c>
      <c r="E7" s="143" t="s">
        <v>162</v>
      </c>
    </row>
    <row r="8" spans="2:5" s="141" customFormat="1" ht="16">
      <c r="B8" s="176"/>
      <c r="C8" s="142"/>
      <c r="E8" s="143"/>
    </row>
    <row r="9" spans="2:5" s="141" customFormat="1" ht="16">
      <c r="B9" s="177"/>
      <c r="C9" s="139"/>
      <c r="D9" s="139"/>
      <c r="E9" s="143"/>
    </row>
    <row r="10" spans="2:5" s="141" customFormat="1" ht="16">
      <c r="B10" s="175" t="s">
        <v>163</v>
      </c>
      <c r="C10" s="167" t="s">
        <v>196</v>
      </c>
      <c r="D10" s="167"/>
      <c r="E10" s="143"/>
    </row>
    <row r="11" spans="2:5" s="141" customFormat="1" ht="16">
      <c r="B11" s="176" t="s">
        <v>120</v>
      </c>
      <c r="C11" s="142" t="s">
        <v>197</v>
      </c>
      <c r="D11" s="142" t="s">
        <v>164</v>
      </c>
      <c r="E11" s="143" t="s">
        <v>165</v>
      </c>
    </row>
    <row r="12" spans="2:5" s="141" customFormat="1" ht="34">
      <c r="B12" s="176" t="s">
        <v>159</v>
      </c>
      <c r="C12" s="142" t="s">
        <v>198</v>
      </c>
      <c r="D12" s="142" t="s">
        <v>166</v>
      </c>
      <c r="E12" s="144" t="s">
        <v>167</v>
      </c>
    </row>
    <row r="13" spans="2:5" s="141" customFormat="1" ht="16">
      <c r="B13" s="176" t="s">
        <v>89</v>
      </c>
      <c r="C13" s="142" t="s">
        <v>199</v>
      </c>
      <c r="D13" s="142" t="s">
        <v>200</v>
      </c>
      <c r="E13" s="143" t="s">
        <v>168</v>
      </c>
    </row>
    <row r="14" spans="2:5" s="141" customFormat="1" ht="16">
      <c r="B14" s="176"/>
      <c r="C14" s="142"/>
      <c r="D14" s="142"/>
      <c r="E14" s="143"/>
    </row>
    <row r="15" spans="2:5" s="141" customFormat="1" ht="16">
      <c r="B15" s="174"/>
      <c r="C15" s="145"/>
      <c r="D15" s="145"/>
      <c r="E15" s="143" t="s">
        <v>201</v>
      </c>
    </row>
    <row r="16" spans="2:5">
      <c r="B16" s="178"/>
    </row>
    <row r="17" spans="2:4">
      <c r="B17" s="179" t="s">
        <v>202</v>
      </c>
    </row>
    <row r="18" spans="2:4">
      <c r="B18" s="180" t="s">
        <v>156</v>
      </c>
      <c r="C18" s="168" t="s">
        <v>203</v>
      </c>
      <c r="D18" s="168" t="s">
        <v>204</v>
      </c>
    </row>
    <row r="19" spans="2:4" ht="15" thickBot="1">
      <c r="B19" s="180" t="s">
        <v>163</v>
      </c>
      <c r="C19" s="169" t="s">
        <v>205</v>
      </c>
      <c r="D19" s="169" t="s">
        <v>206</v>
      </c>
    </row>
    <row r="20" spans="2:4" ht="15" thickTop="1">
      <c r="B20" s="180" t="s">
        <v>211</v>
      </c>
      <c r="C20" s="170" t="s">
        <v>207</v>
      </c>
      <c r="D20" s="170" t="s">
        <v>208</v>
      </c>
    </row>
    <row r="21" spans="2:4" ht="15" thickBot="1"/>
    <row r="22" spans="2:4" ht="15" thickBot="1">
      <c r="B22" s="181" t="s">
        <v>209</v>
      </c>
      <c r="C22" s="171" t="s">
        <v>207</v>
      </c>
      <c r="D22" s="172" t="s">
        <v>210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6D9B7-30BF-594C-9551-583B3BA904BF}">
  <sheetPr>
    <tabColor rgb="FFC00000"/>
  </sheetPr>
  <dimension ref="A1:AN120"/>
  <sheetViews>
    <sheetView showGridLines="0" zoomScale="80" zoomScaleNormal="80" workbookViewId="0">
      <selection activeCell="F40" sqref="F40"/>
    </sheetView>
  </sheetViews>
  <sheetFormatPr baseColWidth="10" defaultColWidth="8.83203125" defaultRowHeight="15" outlineLevelRow="1" outlineLevelCol="1"/>
  <cols>
    <col min="1" max="1" width="4" customWidth="1" outlineLevel="1"/>
    <col min="2" max="2" width="34.6640625" customWidth="1" outlineLevel="1"/>
    <col min="3" max="3" width="15.1640625" customWidth="1" outlineLevel="1"/>
    <col min="4" max="4" width="7.83203125" customWidth="1" outlineLevel="1"/>
    <col min="5" max="5" width="32.1640625" customWidth="1" outlineLevel="1"/>
    <col min="6" max="6" width="15.1640625" customWidth="1" outlineLevel="1"/>
    <col min="7" max="7" width="5.33203125" customWidth="1"/>
    <col min="8" max="8" width="34.33203125" customWidth="1"/>
    <col min="9" max="24" width="14.5" customWidth="1"/>
    <col min="25" max="25" width="4.33203125" customWidth="1"/>
    <col min="26" max="26" width="14.5" customWidth="1"/>
  </cols>
  <sheetData>
    <row r="1" spans="2:29" ht="16" customHeight="1">
      <c r="B1" s="1"/>
      <c r="C1" s="1"/>
      <c r="D1" s="1"/>
      <c r="E1" s="1"/>
      <c r="F1" s="2"/>
      <c r="G1" s="2"/>
      <c r="H1" s="2"/>
      <c r="I1" s="2"/>
      <c r="J1" s="2"/>
      <c r="K1" s="2"/>
      <c r="L1" s="2"/>
      <c r="M1" s="2"/>
      <c r="N1" s="2"/>
      <c r="O1" s="2"/>
      <c r="P1" s="2"/>
      <c r="Q1" s="2"/>
      <c r="R1" s="1"/>
    </row>
    <row r="2" spans="2:29" ht="16" customHeight="1">
      <c r="B2" s="3" t="s">
        <v>0</v>
      </c>
      <c r="C2" s="4"/>
      <c r="D2" s="4"/>
      <c r="E2" s="4"/>
      <c r="F2" s="2"/>
      <c r="G2" s="2"/>
      <c r="H2" s="153" t="s">
        <v>182</v>
      </c>
      <c r="I2" s="154"/>
      <c r="J2" s="154"/>
      <c r="K2" s="154"/>
      <c r="L2" s="159" t="s">
        <v>184</v>
      </c>
      <c r="M2" s="160"/>
      <c r="N2" s="2"/>
      <c r="O2" s="158" t="s">
        <v>183</v>
      </c>
      <c r="P2" s="158"/>
      <c r="Q2" s="2"/>
      <c r="R2" s="1"/>
    </row>
    <row r="3" spans="2:29" ht="16" customHeight="1">
      <c r="B3" s="1"/>
      <c r="C3" s="1"/>
      <c r="D3" s="1"/>
      <c r="E3" s="1"/>
      <c r="F3" s="2"/>
      <c r="G3" s="2"/>
      <c r="H3" s="2"/>
      <c r="I3" s="2"/>
      <c r="J3" s="2"/>
      <c r="K3" s="2"/>
      <c r="L3" s="2"/>
      <c r="M3" s="2"/>
      <c r="N3" s="2"/>
      <c r="O3" s="2"/>
      <c r="P3" s="2"/>
      <c r="Q3" s="2"/>
      <c r="R3" s="1"/>
    </row>
    <row r="4" spans="2:29" ht="16" customHeight="1">
      <c r="B4" s="184" t="s">
        <v>2</v>
      </c>
      <c r="C4" s="184"/>
      <c r="D4" s="1"/>
      <c r="E4" s="184" t="s">
        <v>3</v>
      </c>
      <c r="F4" s="184"/>
      <c r="G4" s="5"/>
      <c r="H4" s="6" t="s">
        <v>1</v>
      </c>
      <c r="I4" s="7" t="s">
        <v>4</v>
      </c>
      <c r="J4" s="7" t="s">
        <v>5</v>
      </c>
      <c r="K4" s="7" t="s">
        <v>6</v>
      </c>
      <c r="L4" s="7" t="s">
        <v>7</v>
      </c>
      <c r="M4" s="7" t="s">
        <v>8</v>
      </c>
      <c r="N4" s="7" t="s">
        <v>9</v>
      </c>
      <c r="O4" s="7" t="s">
        <v>10</v>
      </c>
      <c r="P4" s="7" t="s">
        <v>11</v>
      </c>
      <c r="Q4" s="8" t="s">
        <v>12</v>
      </c>
      <c r="R4" s="8" t="s">
        <v>13</v>
      </c>
      <c r="S4" s="8" t="s">
        <v>14</v>
      </c>
      <c r="T4" s="8" t="s">
        <v>15</v>
      </c>
      <c r="U4" s="8" t="s">
        <v>16</v>
      </c>
      <c r="V4" s="8" t="s">
        <v>17</v>
      </c>
      <c r="W4" s="8" t="s">
        <v>18</v>
      </c>
      <c r="X4" s="8" t="s">
        <v>19</v>
      </c>
      <c r="Y4" s="1"/>
      <c r="Z4" s="9" t="s">
        <v>20</v>
      </c>
    </row>
    <row r="5" spans="2:29" ht="16" customHeight="1">
      <c r="B5" s="1"/>
      <c r="C5" s="1"/>
      <c r="D5" s="1"/>
      <c r="E5" s="1"/>
      <c r="F5" s="1"/>
      <c r="H5" s="10" t="s">
        <v>21</v>
      </c>
      <c r="I5" s="11">
        <v>0</v>
      </c>
      <c r="J5" s="11">
        <v>0</v>
      </c>
      <c r="K5" s="11">
        <v>0</v>
      </c>
      <c r="L5" s="11">
        <v>0</v>
      </c>
      <c r="M5" s="11">
        <v>0.05</v>
      </c>
      <c r="N5" s="11">
        <v>0.25</v>
      </c>
      <c r="O5" s="11">
        <v>0.25</v>
      </c>
      <c r="P5" s="11">
        <v>0.25</v>
      </c>
      <c r="Q5" s="11">
        <v>0.2</v>
      </c>
      <c r="R5" s="11">
        <v>0</v>
      </c>
      <c r="S5" s="11">
        <v>0</v>
      </c>
      <c r="T5" s="11">
        <v>0</v>
      </c>
      <c r="U5" s="11">
        <v>0</v>
      </c>
      <c r="V5" s="11">
        <v>0</v>
      </c>
      <c r="W5" s="11">
        <v>0</v>
      </c>
      <c r="X5" s="11">
        <v>0</v>
      </c>
      <c r="Y5" s="1"/>
      <c r="Z5" s="12">
        <f>SUM(I5:X5)</f>
        <v>1</v>
      </c>
    </row>
    <row r="6" spans="2:29" ht="16" customHeight="1">
      <c r="B6" s="13" t="s">
        <v>22</v>
      </c>
      <c r="C6" s="14"/>
      <c r="D6" s="1"/>
      <c r="E6" s="13" t="s">
        <v>22</v>
      </c>
      <c r="F6" s="14"/>
      <c r="H6" s="10" t="s">
        <v>23</v>
      </c>
      <c r="I6" s="15"/>
      <c r="J6" s="15"/>
      <c r="K6" s="15"/>
      <c r="L6" s="15"/>
      <c r="M6" s="15"/>
      <c r="N6" s="15"/>
      <c r="O6" s="15"/>
      <c r="P6" s="15"/>
      <c r="Q6" s="15"/>
      <c r="R6" s="15"/>
      <c r="S6" s="15"/>
      <c r="T6" s="15"/>
      <c r="U6" s="15"/>
      <c r="V6" s="15"/>
      <c r="W6" s="15"/>
      <c r="X6" s="15"/>
      <c r="Y6" s="15"/>
      <c r="Z6" s="15"/>
    </row>
    <row r="7" spans="2:29" ht="16" customHeight="1">
      <c r="B7" s="16" t="s">
        <v>24</v>
      </c>
      <c r="C7" s="17">
        <v>250000</v>
      </c>
      <c r="E7" s="16" t="s">
        <v>24</v>
      </c>
      <c r="F7" s="18">
        <f>C7</f>
        <v>250000</v>
      </c>
      <c r="H7" s="16" t="s">
        <v>25</v>
      </c>
      <c r="I7" s="19">
        <f t="shared" ref="I7:X7" si="0">$C$7*I5/SUM($I$5:$X$5)</f>
        <v>0</v>
      </c>
      <c r="J7" s="19">
        <f t="shared" si="0"/>
        <v>0</v>
      </c>
      <c r="K7" s="19">
        <f t="shared" si="0"/>
        <v>0</v>
      </c>
      <c r="L7" s="19">
        <f t="shared" si="0"/>
        <v>0</v>
      </c>
      <c r="M7" s="19">
        <f t="shared" si="0"/>
        <v>12500</v>
      </c>
      <c r="N7" s="19">
        <f t="shared" si="0"/>
        <v>62500</v>
      </c>
      <c r="O7" s="19">
        <f t="shared" si="0"/>
        <v>62500</v>
      </c>
      <c r="P7" s="19">
        <f t="shared" si="0"/>
        <v>62500</v>
      </c>
      <c r="Q7" s="19">
        <f t="shared" si="0"/>
        <v>50000</v>
      </c>
      <c r="R7" s="19">
        <f t="shared" si="0"/>
        <v>0</v>
      </c>
      <c r="S7" s="19">
        <f t="shared" si="0"/>
        <v>0</v>
      </c>
      <c r="T7" s="19">
        <f t="shared" si="0"/>
        <v>0</v>
      </c>
      <c r="U7" s="19">
        <f t="shared" si="0"/>
        <v>0</v>
      </c>
      <c r="V7" s="19">
        <f t="shared" si="0"/>
        <v>0</v>
      </c>
      <c r="W7" s="19">
        <f t="shared" si="0"/>
        <v>0</v>
      </c>
      <c r="X7" s="19">
        <f t="shared" si="0"/>
        <v>0</v>
      </c>
      <c r="Y7" s="19"/>
      <c r="Z7" s="19">
        <f>SUM(I7:X7)</f>
        <v>250000</v>
      </c>
    </row>
    <row r="8" spans="2:29" ht="16" customHeight="1">
      <c r="B8" s="16" t="s">
        <v>26</v>
      </c>
      <c r="C8" s="11">
        <v>0.08</v>
      </c>
      <c r="E8" s="16" t="s">
        <v>27</v>
      </c>
      <c r="F8" s="11">
        <v>0.06</v>
      </c>
      <c r="G8" s="20"/>
      <c r="H8" s="16" t="s">
        <v>28</v>
      </c>
      <c r="I8" s="19">
        <f t="shared" ref="I8:X9" si="1">I$7*($C$8+$C$10)</f>
        <v>0</v>
      </c>
      <c r="J8" s="19">
        <f t="shared" si="1"/>
        <v>0</v>
      </c>
      <c r="K8" s="19">
        <f t="shared" si="1"/>
        <v>0</v>
      </c>
      <c r="L8" s="19">
        <f t="shared" si="1"/>
        <v>0</v>
      </c>
      <c r="M8" s="19">
        <f t="shared" si="1"/>
        <v>1062.5</v>
      </c>
      <c r="N8" s="19">
        <f t="shared" si="1"/>
        <v>5312.5</v>
      </c>
      <c r="O8" s="19">
        <f t="shared" si="1"/>
        <v>5312.5</v>
      </c>
      <c r="P8" s="19">
        <f t="shared" si="1"/>
        <v>5312.5</v>
      </c>
      <c r="Q8" s="19">
        <f t="shared" si="1"/>
        <v>4250</v>
      </c>
      <c r="R8" s="19">
        <f t="shared" si="1"/>
        <v>0</v>
      </c>
      <c r="S8" s="19">
        <f t="shared" si="1"/>
        <v>0</v>
      </c>
      <c r="T8" s="19">
        <f t="shared" si="1"/>
        <v>0</v>
      </c>
      <c r="U8" s="19">
        <f t="shared" si="1"/>
        <v>0</v>
      </c>
      <c r="V8" s="19">
        <f t="shared" si="1"/>
        <v>0</v>
      </c>
      <c r="W8" s="19">
        <f t="shared" si="1"/>
        <v>0</v>
      </c>
      <c r="X8" s="19">
        <f t="shared" si="1"/>
        <v>0</v>
      </c>
      <c r="Y8" s="19"/>
      <c r="Z8" s="19">
        <f>SUM(I8:X8)</f>
        <v>21250</v>
      </c>
    </row>
    <row r="9" spans="2:29" ht="16" customHeight="1">
      <c r="B9" s="16" t="s">
        <v>29</v>
      </c>
      <c r="C9" s="21">
        <f>C7*C8</f>
        <v>20000</v>
      </c>
      <c r="E9" s="16" t="s">
        <v>30</v>
      </c>
      <c r="F9" s="21">
        <f>C7*F8</f>
        <v>15000</v>
      </c>
      <c r="G9" s="20"/>
      <c r="H9" s="16" t="s">
        <v>31</v>
      </c>
      <c r="I9" s="19">
        <f t="shared" si="1"/>
        <v>0</v>
      </c>
      <c r="J9" s="19">
        <f t="shared" si="1"/>
        <v>0</v>
      </c>
      <c r="K9" s="19">
        <f t="shared" si="1"/>
        <v>0</v>
      </c>
      <c r="L9" s="19">
        <f t="shared" si="1"/>
        <v>0</v>
      </c>
      <c r="M9" s="19">
        <f t="shared" si="1"/>
        <v>1062.5</v>
      </c>
      <c r="N9" s="19">
        <f t="shared" si="1"/>
        <v>5312.5</v>
      </c>
      <c r="O9" s="19">
        <f t="shared" si="1"/>
        <v>5312.5</v>
      </c>
      <c r="P9" s="19">
        <f t="shared" si="1"/>
        <v>5312.5</v>
      </c>
      <c r="Q9" s="19">
        <f t="shared" si="1"/>
        <v>4250</v>
      </c>
      <c r="R9" s="19">
        <f t="shared" si="1"/>
        <v>0</v>
      </c>
      <c r="S9" s="19">
        <f t="shared" si="1"/>
        <v>0</v>
      </c>
      <c r="T9" s="19">
        <f t="shared" si="1"/>
        <v>0</v>
      </c>
      <c r="U9" s="19">
        <f t="shared" si="1"/>
        <v>0</v>
      </c>
      <c r="V9" s="19">
        <f t="shared" si="1"/>
        <v>0</v>
      </c>
      <c r="W9" s="19">
        <f t="shared" si="1"/>
        <v>0</v>
      </c>
      <c r="X9" s="19">
        <f t="shared" si="1"/>
        <v>0</v>
      </c>
      <c r="Y9" s="19"/>
      <c r="Z9" s="19">
        <f>SUM(I9:X9)</f>
        <v>21250</v>
      </c>
    </row>
    <row r="10" spans="2:29" ht="16" customHeight="1">
      <c r="B10" s="16" t="s">
        <v>32</v>
      </c>
      <c r="C10" s="22">
        <v>5.0000000000000001E-3</v>
      </c>
      <c r="E10" s="16" t="s">
        <v>32</v>
      </c>
      <c r="F10" s="22">
        <v>5.0000000000000001E-3</v>
      </c>
      <c r="G10" s="20"/>
      <c r="H10" s="16" t="s">
        <v>33</v>
      </c>
      <c r="I10" s="23"/>
      <c r="J10" s="23"/>
      <c r="K10" s="23"/>
      <c r="L10" s="23"/>
      <c r="M10" s="19">
        <f>I9+I10</f>
        <v>0</v>
      </c>
      <c r="N10" s="19">
        <f>J9+J10</f>
        <v>0</v>
      </c>
      <c r="O10" s="19">
        <f>K9+K10</f>
        <v>0</v>
      </c>
      <c r="P10" s="19">
        <f>L9+L10</f>
        <v>0</v>
      </c>
      <c r="Q10" s="19">
        <f>M11</f>
        <v>833.08500000000004</v>
      </c>
      <c r="R10" s="19">
        <f>N11</f>
        <v>4165.4250000000002</v>
      </c>
      <c r="S10" s="19">
        <f>O11</f>
        <v>4165.4250000000002</v>
      </c>
      <c r="T10" s="19">
        <f>P11</f>
        <v>4165.4250000000002</v>
      </c>
      <c r="U10" s="19">
        <f>Q11</f>
        <v>3332.34</v>
      </c>
      <c r="V10" s="19"/>
      <c r="W10" s="19"/>
      <c r="X10" s="19"/>
      <c r="Y10" s="19"/>
      <c r="Z10" s="19">
        <f>SUM(I10:X10)</f>
        <v>16661.7</v>
      </c>
    </row>
    <row r="11" spans="2:29" ht="16" customHeight="1">
      <c r="B11" s="16" t="s">
        <v>34</v>
      </c>
      <c r="C11" s="21">
        <f>C7*(C8+C10)</f>
        <v>21250</v>
      </c>
      <c r="E11" s="16" t="s">
        <v>35</v>
      </c>
      <c r="F11" s="21">
        <f>F7*(F8+F10)</f>
        <v>16250</v>
      </c>
      <c r="G11" s="20"/>
      <c r="H11" s="16" t="s">
        <v>36</v>
      </c>
      <c r="I11" s="19">
        <f t="shared" ref="I11:X11" si="2">I8*(1-$C$12)*(1-$C$14)*(1-$C$13)*$C$15*$C$16</f>
        <v>0</v>
      </c>
      <c r="J11" s="19">
        <f t="shared" si="2"/>
        <v>0</v>
      </c>
      <c r="K11" s="19">
        <f t="shared" si="2"/>
        <v>0</v>
      </c>
      <c r="L11" s="19">
        <f t="shared" si="2"/>
        <v>0</v>
      </c>
      <c r="M11" s="19">
        <f t="shared" si="2"/>
        <v>833.08500000000004</v>
      </c>
      <c r="N11" s="19">
        <f t="shared" si="2"/>
        <v>4165.4250000000002</v>
      </c>
      <c r="O11" s="19">
        <f t="shared" si="2"/>
        <v>4165.4250000000002</v>
      </c>
      <c r="P11" s="19">
        <f t="shared" si="2"/>
        <v>4165.4250000000002</v>
      </c>
      <c r="Q11" s="19">
        <f t="shared" si="2"/>
        <v>3332.34</v>
      </c>
      <c r="R11" s="19">
        <f t="shared" si="2"/>
        <v>0</v>
      </c>
      <c r="S11" s="19">
        <f t="shared" si="2"/>
        <v>0</v>
      </c>
      <c r="T11" s="19">
        <f t="shared" si="2"/>
        <v>0</v>
      </c>
      <c r="U11" s="19">
        <f t="shared" si="2"/>
        <v>0</v>
      </c>
      <c r="V11" s="19">
        <f t="shared" si="2"/>
        <v>0</v>
      </c>
      <c r="W11" s="19">
        <f t="shared" si="2"/>
        <v>0</v>
      </c>
      <c r="X11" s="19">
        <f t="shared" si="2"/>
        <v>0</v>
      </c>
      <c r="Y11" s="19"/>
      <c r="Z11" s="19">
        <f>SUM(I11:X11)</f>
        <v>16661.7</v>
      </c>
      <c r="AA11" s="24"/>
    </row>
    <row r="12" spans="2:29" ht="16" customHeight="1">
      <c r="B12" s="16" t="s">
        <v>37</v>
      </c>
      <c r="C12" s="25">
        <v>0.01</v>
      </c>
      <c r="E12" s="16" t="s">
        <v>38</v>
      </c>
      <c r="F12" s="26">
        <v>0.65</v>
      </c>
      <c r="G12" s="20"/>
      <c r="H12" s="16" t="s">
        <v>39</v>
      </c>
      <c r="I12" s="19">
        <f>(I5&lt;&gt;0)*I11</f>
        <v>0</v>
      </c>
      <c r="J12" s="19">
        <f t="shared" ref="J12:Q12" si="3">(J5&lt;&gt;0)*(J11+I12)</f>
        <v>0</v>
      </c>
      <c r="K12" s="19">
        <f t="shared" si="3"/>
        <v>0</v>
      </c>
      <c r="L12" s="19">
        <f t="shared" si="3"/>
        <v>0</v>
      </c>
      <c r="M12" s="19">
        <f t="shared" si="3"/>
        <v>833.08500000000004</v>
      </c>
      <c r="N12" s="19">
        <f t="shared" si="3"/>
        <v>4998.51</v>
      </c>
      <c r="O12" s="19">
        <f t="shared" si="3"/>
        <v>9163.9350000000013</v>
      </c>
      <c r="P12" s="19">
        <f t="shared" si="3"/>
        <v>13329.36</v>
      </c>
      <c r="Q12" s="19">
        <f t="shared" si="3"/>
        <v>16661.7</v>
      </c>
      <c r="R12" s="19">
        <f>Q12*0.8</f>
        <v>13329.36</v>
      </c>
      <c r="S12" s="19">
        <f>R12*0.8</f>
        <v>10663.488000000001</v>
      </c>
      <c r="T12" s="19">
        <f>S12*0.8</f>
        <v>8530.7904000000017</v>
      </c>
      <c r="U12" s="19">
        <f>T12*0.8</f>
        <v>6824.6323200000015</v>
      </c>
      <c r="V12" s="19"/>
      <c r="W12" s="19"/>
      <c r="X12" s="19"/>
      <c r="Y12" s="19"/>
      <c r="Z12" s="19">
        <f>MAX(I12:X12)</f>
        <v>16661.7</v>
      </c>
      <c r="AA12" s="28"/>
      <c r="AB12" s="28"/>
      <c r="AC12" s="29"/>
    </row>
    <row r="13" spans="2:29" ht="16" customHeight="1">
      <c r="B13" s="16" t="s">
        <v>40</v>
      </c>
      <c r="C13" s="25">
        <v>0.01</v>
      </c>
      <c r="E13" s="16" t="s">
        <v>41</v>
      </c>
      <c r="F13" s="30">
        <v>0.03</v>
      </c>
      <c r="G13" s="20"/>
      <c r="H13" s="16" t="s">
        <v>42</v>
      </c>
      <c r="I13" s="19">
        <f t="shared" ref="I13:X13" si="4">I$12*$C$18</f>
        <v>0</v>
      </c>
      <c r="J13" s="19">
        <f t="shared" si="4"/>
        <v>0</v>
      </c>
      <c r="K13" s="19">
        <f t="shared" si="4"/>
        <v>0</v>
      </c>
      <c r="L13" s="19">
        <f t="shared" si="4"/>
        <v>0</v>
      </c>
      <c r="M13" s="19">
        <f t="shared" si="4"/>
        <v>749.77650000000006</v>
      </c>
      <c r="N13" s="19">
        <f t="shared" si="4"/>
        <v>4498.6590000000006</v>
      </c>
      <c r="O13" s="19">
        <f t="shared" si="4"/>
        <v>8247.5415000000012</v>
      </c>
      <c r="P13" s="19">
        <f t="shared" si="4"/>
        <v>11996.424000000001</v>
      </c>
      <c r="Q13" s="19">
        <f t="shared" si="4"/>
        <v>14995.53</v>
      </c>
      <c r="R13" s="19">
        <f t="shared" si="4"/>
        <v>11996.424000000001</v>
      </c>
      <c r="S13" s="19">
        <f t="shared" si="4"/>
        <v>9597.1392000000014</v>
      </c>
      <c r="T13" s="19">
        <f t="shared" si="4"/>
        <v>7677.7113600000021</v>
      </c>
      <c r="U13" s="19">
        <f t="shared" si="4"/>
        <v>6142.1690880000015</v>
      </c>
      <c r="V13" s="19">
        <f t="shared" si="4"/>
        <v>0</v>
      </c>
      <c r="W13" s="19">
        <f t="shared" si="4"/>
        <v>0</v>
      </c>
      <c r="X13" s="19">
        <f t="shared" si="4"/>
        <v>0</v>
      </c>
      <c r="Y13" s="19"/>
      <c r="Z13" s="19">
        <f>MAX(I13:X13)</f>
        <v>14995.53</v>
      </c>
      <c r="AA13" s="28"/>
      <c r="AB13" s="28"/>
    </row>
    <row r="14" spans="2:29" ht="16" customHeight="1">
      <c r="B14" s="16" t="s">
        <v>43</v>
      </c>
      <c r="C14" s="11">
        <v>0</v>
      </c>
      <c r="E14" s="16" t="s">
        <v>44</v>
      </c>
      <c r="F14" s="25">
        <v>0.65</v>
      </c>
      <c r="H14" s="16" t="s">
        <v>45</v>
      </c>
      <c r="I14" s="19">
        <f t="shared" ref="I14:X14" si="5">I$12*(1-$C$18)</f>
        <v>0</v>
      </c>
      <c r="J14" s="19">
        <f t="shared" si="5"/>
        <v>0</v>
      </c>
      <c r="K14" s="19">
        <f t="shared" si="5"/>
        <v>0</v>
      </c>
      <c r="L14" s="19">
        <f t="shared" si="5"/>
        <v>0</v>
      </c>
      <c r="M14" s="19">
        <f t="shared" si="5"/>
        <v>83.308499999999981</v>
      </c>
      <c r="N14" s="19">
        <f t="shared" si="5"/>
        <v>499.85099999999989</v>
      </c>
      <c r="O14" s="19">
        <f t="shared" si="5"/>
        <v>916.3934999999999</v>
      </c>
      <c r="P14" s="19">
        <f t="shared" si="5"/>
        <v>1332.9359999999997</v>
      </c>
      <c r="Q14" s="19">
        <f t="shared" si="5"/>
        <v>1666.1699999999996</v>
      </c>
      <c r="R14" s="19">
        <f t="shared" si="5"/>
        <v>1332.9359999999997</v>
      </c>
      <c r="S14" s="19">
        <f t="shared" si="5"/>
        <v>1066.3488</v>
      </c>
      <c r="T14" s="19">
        <f t="shared" si="5"/>
        <v>853.07903999999996</v>
      </c>
      <c r="U14" s="19">
        <f t="shared" si="5"/>
        <v>682.46323199999995</v>
      </c>
      <c r="V14" s="19">
        <f t="shared" si="5"/>
        <v>0</v>
      </c>
      <c r="W14" s="19">
        <f t="shared" si="5"/>
        <v>0</v>
      </c>
      <c r="X14" s="19">
        <f t="shared" si="5"/>
        <v>0</v>
      </c>
      <c r="Y14" s="19"/>
      <c r="Z14" s="19">
        <f>MAX(I14:X14)</f>
        <v>1666.1699999999996</v>
      </c>
      <c r="AA14" s="28"/>
      <c r="AB14" s="28"/>
    </row>
    <row r="15" spans="2:29" ht="16" customHeight="1">
      <c r="B15" s="16" t="s">
        <v>46</v>
      </c>
      <c r="C15" s="26">
        <v>1</v>
      </c>
      <c r="E15" s="16" t="s">
        <v>47</v>
      </c>
      <c r="F15" s="21">
        <f>F14*F11*F12</f>
        <v>6865.625</v>
      </c>
      <c r="H15" s="16" t="s">
        <v>48</v>
      </c>
      <c r="I15" s="19">
        <f t="shared" ref="I15:X15" si="6">I13*3</f>
        <v>0</v>
      </c>
      <c r="J15" s="19">
        <f t="shared" si="6"/>
        <v>0</v>
      </c>
      <c r="K15" s="19">
        <f t="shared" si="6"/>
        <v>0</v>
      </c>
      <c r="L15" s="19">
        <f t="shared" si="6"/>
        <v>0</v>
      </c>
      <c r="M15" s="19">
        <f t="shared" si="6"/>
        <v>2249.3295000000003</v>
      </c>
      <c r="N15" s="19">
        <f t="shared" si="6"/>
        <v>13495.977000000003</v>
      </c>
      <c r="O15" s="19">
        <f t="shared" si="6"/>
        <v>24742.624500000005</v>
      </c>
      <c r="P15" s="19">
        <f t="shared" si="6"/>
        <v>35989.272000000004</v>
      </c>
      <c r="Q15" s="19">
        <f t="shared" si="6"/>
        <v>44986.590000000004</v>
      </c>
      <c r="R15" s="19">
        <f t="shared" si="6"/>
        <v>35989.272000000004</v>
      </c>
      <c r="S15" s="19">
        <f t="shared" si="6"/>
        <v>28791.417600000004</v>
      </c>
      <c r="T15" s="19">
        <f t="shared" si="6"/>
        <v>23033.134080000007</v>
      </c>
      <c r="U15" s="19">
        <f t="shared" si="6"/>
        <v>18426.507264000003</v>
      </c>
      <c r="V15" s="19">
        <f t="shared" si="6"/>
        <v>0</v>
      </c>
      <c r="W15" s="19">
        <f t="shared" si="6"/>
        <v>0</v>
      </c>
      <c r="X15" s="19">
        <f t="shared" si="6"/>
        <v>0</v>
      </c>
      <c r="Z15" s="19">
        <f>SUM(I15:X15)</f>
        <v>227704.12394400005</v>
      </c>
      <c r="AA15" s="19"/>
      <c r="AB15" s="28"/>
    </row>
    <row r="16" spans="2:29" ht="16" customHeight="1">
      <c r="B16" s="16" t="s">
        <v>44</v>
      </c>
      <c r="C16" s="25">
        <v>0.8</v>
      </c>
      <c r="E16" s="16" t="s">
        <v>49</v>
      </c>
      <c r="F16" s="25">
        <v>0.9</v>
      </c>
      <c r="H16" s="16" t="s">
        <v>50</v>
      </c>
      <c r="I16" s="19">
        <f t="shared" ref="I16:X16" si="7">I14*3</f>
        <v>0</v>
      </c>
      <c r="J16" s="19">
        <f t="shared" si="7"/>
        <v>0</v>
      </c>
      <c r="K16" s="19">
        <f t="shared" si="7"/>
        <v>0</v>
      </c>
      <c r="L16" s="19">
        <f t="shared" si="7"/>
        <v>0</v>
      </c>
      <c r="M16" s="19">
        <f t="shared" si="7"/>
        <v>249.92549999999994</v>
      </c>
      <c r="N16" s="19">
        <f t="shared" si="7"/>
        <v>1499.5529999999997</v>
      </c>
      <c r="O16" s="19">
        <f t="shared" si="7"/>
        <v>2749.1804999999995</v>
      </c>
      <c r="P16" s="19">
        <f t="shared" si="7"/>
        <v>3998.8079999999991</v>
      </c>
      <c r="Q16" s="19">
        <f t="shared" si="7"/>
        <v>4998.5099999999984</v>
      </c>
      <c r="R16" s="19">
        <f t="shared" si="7"/>
        <v>3998.8079999999991</v>
      </c>
      <c r="S16" s="19">
        <f t="shared" si="7"/>
        <v>3199.0464000000002</v>
      </c>
      <c r="T16" s="19">
        <f t="shared" si="7"/>
        <v>2559.2371199999998</v>
      </c>
      <c r="U16" s="19">
        <f t="shared" si="7"/>
        <v>2047.3896959999997</v>
      </c>
      <c r="V16" s="19">
        <f t="shared" si="7"/>
        <v>0</v>
      </c>
      <c r="W16" s="19">
        <f t="shared" si="7"/>
        <v>0</v>
      </c>
      <c r="X16" s="19">
        <f t="shared" si="7"/>
        <v>0</v>
      </c>
      <c r="Z16" s="19">
        <f>SUM(I16:X16)</f>
        <v>25300.458215999992</v>
      </c>
      <c r="AA16" s="19"/>
    </row>
    <row r="17" spans="1:31" ht="16" customHeight="1">
      <c r="B17" s="16" t="s">
        <v>47</v>
      </c>
      <c r="C17" s="21">
        <f>C11*(1-C12)*C15*(1-C14)*(1-C13)*C16</f>
        <v>16661.7</v>
      </c>
      <c r="E17" s="16" t="s">
        <v>51</v>
      </c>
      <c r="F17" s="21">
        <f>F16*F15</f>
        <v>6179.0625</v>
      </c>
      <c r="H17" s="10" t="s">
        <v>52</v>
      </c>
      <c r="I17" s="19"/>
      <c r="J17" s="19"/>
      <c r="K17" s="19"/>
      <c r="L17" s="19"/>
      <c r="M17" s="19"/>
      <c r="N17" s="19"/>
      <c r="O17" s="19"/>
      <c r="P17" s="19"/>
      <c r="Q17" s="19"/>
      <c r="R17" s="19"/>
      <c r="S17" s="19"/>
      <c r="T17" s="19"/>
      <c r="U17" s="19"/>
      <c r="V17" s="19"/>
      <c r="W17" s="19"/>
      <c r="X17" s="19"/>
      <c r="Y17" s="19"/>
      <c r="Z17" s="19"/>
      <c r="AA17" s="19"/>
    </row>
    <row r="18" spans="1:31" ht="16" customHeight="1">
      <c r="B18" s="16" t="s">
        <v>49</v>
      </c>
      <c r="C18" s="25">
        <v>0.9</v>
      </c>
      <c r="E18" s="16" t="s">
        <v>53</v>
      </c>
      <c r="F18" s="21">
        <f>F15*(1-F16)</f>
        <v>686.56249999999989</v>
      </c>
      <c r="H18" s="16" t="s">
        <v>25</v>
      </c>
      <c r="I18" s="19">
        <f t="shared" ref="I18:X18" si="8">$C$7*I5/SUM($I$5:$X$5)</f>
        <v>0</v>
      </c>
      <c r="J18" s="19">
        <f t="shared" si="8"/>
        <v>0</v>
      </c>
      <c r="K18" s="19">
        <f t="shared" si="8"/>
        <v>0</v>
      </c>
      <c r="L18" s="19">
        <f t="shared" si="8"/>
        <v>0</v>
      </c>
      <c r="M18" s="19">
        <f t="shared" si="8"/>
        <v>12500</v>
      </c>
      <c r="N18" s="19">
        <f t="shared" si="8"/>
        <v>62500</v>
      </c>
      <c r="O18" s="19">
        <f t="shared" si="8"/>
        <v>62500</v>
      </c>
      <c r="P18" s="19">
        <f t="shared" si="8"/>
        <v>62500</v>
      </c>
      <c r="Q18" s="19">
        <f t="shared" si="8"/>
        <v>50000</v>
      </c>
      <c r="R18" s="19">
        <f t="shared" si="8"/>
        <v>0</v>
      </c>
      <c r="S18" s="19">
        <f t="shared" si="8"/>
        <v>0</v>
      </c>
      <c r="T18" s="19">
        <f t="shared" si="8"/>
        <v>0</v>
      </c>
      <c r="U18" s="19">
        <f t="shared" si="8"/>
        <v>0</v>
      </c>
      <c r="V18" s="19">
        <f t="shared" si="8"/>
        <v>0</v>
      </c>
      <c r="W18" s="19">
        <f t="shared" si="8"/>
        <v>0</v>
      </c>
      <c r="X18" s="19">
        <f t="shared" si="8"/>
        <v>0</v>
      </c>
      <c r="Y18" s="19"/>
      <c r="Z18" s="19">
        <f t="shared" ref="Z18:Z27" si="9">SUM(I18:X18)</f>
        <v>250000</v>
      </c>
    </row>
    <row r="19" spans="1:31" ht="16" customHeight="1">
      <c r="B19" s="16" t="s">
        <v>51</v>
      </c>
      <c r="C19" s="21">
        <f>C18*C17</f>
        <v>14995.53</v>
      </c>
      <c r="E19" s="16"/>
      <c r="F19" s="21"/>
      <c r="H19" s="16" t="s">
        <v>54</v>
      </c>
      <c r="I19" s="19">
        <f t="shared" ref="I19:X19" si="10">I$18*($F$8+$F$10)</f>
        <v>0</v>
      </c>
      <c r="J19" s="19">
        <f t="shared" si="10"/>
        <v>0</v>
      </c>
      <c r="K19" s="19">
        <f t="shared" si="10"/>
        <v>0</v>
      </c>
      <c r="L19" s="19">
        <f t="shared" si="10"/>
        <v>0</v>
      </c>
      <c r="M19" s="19">
        <f t="shared" si="10"/>
        <v>812.5</v>
      </c>
      <c r="N19" s="19">
        <f t="shared" si="10"/>
        <v>4062.5</v>
      </c>
      <c r="O19" s="19">
        <f t="shared" si="10"/>
        <v>4062.5</v>
      </c>
      <c r="P19" s="19">
        <f t="shared" si="10"/>
        <v>4062.5</v>
      </c>
      <c r="Q19" s="19">
        <f t="shared" si="10"/>
        <v>3250</v>
      </c>
      <c r="R19" s="19">
        <f t="shared" si="10"/>
        <v>0</v>
      </c>
      <c r="S19" s="19">
        <f t="shared" si="10"/>
        <v>0</v>
      </c>
      <c r="T19" s="19">
        <f t="shared" si="10"/>
        <v>0</v>
      </c>
      <c r="U19" s="19">
        <f t="shared" si="10"/>
        <v>0</v>
      </c>
      <c r="V19" s="19">
        <f t="shared" si="10"/>
        <v>0</v>
      </c>
      <c r="W19" s="19">
        <f t="shared" si="10"/>
        <v>0</v>
      </c>
      <c r="X19" s="19">
        <f t="shared" si="10"/>
        <v>0</v>
      </c>
      <c r="Y19" s="19"/>
      <c r="Z19" s="19">
        <f t="shared" si="9"/>
        <v>16250</v>
      </c>
    </row>
    <row r="20" spans="1:31" ht="16" customHeight="1">
      <c r="A20" s="74">
        <v>50</v>
      </c>
      <c r="B20" s="16" t="s">
        <v>55</v>
      </c>
      <c r="C20" s="21">
        <f>C17*(1-C18)</f>
        <v>1666.1699999999996</v>
      </c>
      <c r="E20" s="16"/>
      <c r="F20" s="21"/>
      <c r="G20" s="20"/>
      <c r="H20" s="16" t="s">
        <v>56</v>
      </c>
      <c r="I20" s="23">
        <v>0</v>
      </c>
      <c r="J20" s="23">
        <v>0</v>
      </c>
      <c r="K20" s="19">
        <f t="shared" ref="K20:X20" si="11">SUM(I23)</f>
        <v>0</v>
      </c>
      <c r="L20" s="19">
        <f t="shared" si="11"/>
        <v>0</v>
      </c>
      <c r="M20" s="19">
        <f t="shared" si="11"/>
        <v>0</v>
      </c>
      <c r="N20" s="19">
        <f t="shared" si="11"/>
        <v>0</v>
      </c>
      <c r="O20" s="19">
        <f t="shared" si="11"/>
        <v>343.28125</v>
      </c>
      <c r="P20" s="19">
        <f t="shared" si="11"/>
        <v>1716.40625</v>
      </c>
      <c r="Q20" s="19">
        <f t="shared" si="11"/>
        <v>1716.40625</v>
      </c>
      <c r="R20" s="19">
        <f t="shared" si="11"/>
        <v>1716.40625</v>
      </c>
      <c r="S20" s="19">
        <f t="shared" si="11"/>
        <v>1373.125</v>
      </c>
      <c r="T20" s="19">
        <f t="shared" si="11"/>
        <v>0</v>
      </c>
      <c r="U20" s="19">
        <f t="shared" si="11"/>
        <v>0</v>
      </c>
      <c r="V20" s="19">
        <f t="shared" si="11"/>
        <v>0</v>
      </c>
      <c r="W20" s="19">
        <f t="shared" si="11"/>
        <v>0</v>
      </c>
      <c r="X20" s="19">
        <f t="shared" si="11"/>
        <v>0</v>
      </c>
      <c r="Y20" s="19"/>
      <c r="Z20" s="19">
        <f t="shared" si="9"/>
        <v>6865.625</v>
      </c>
    </row>
    <row r="21" spans="1:31" ht="16" customHeight="1">
      <c r="H21" s="16" t="s">
        <v>57</v>
      </c>
      <c r="I21" s="19">
        <f t="shared" ref="I21:X22" si="12">I$18*($F$8+$F$10)</f>
        <v>0</v>
      </c>
      <c r="J21" s="19">
        <f t="shared" si="12"/>
        <v>0</v>
      </c>
      <c r="K21" s="19">
        <f t="shared" si="12"/>
        <v>0</v>
      </c>
      <c r="L21" s="19">
        <f t="shared" si="12"/>
        <v>0</v>
      </c>
      <c r="M21" s="19">
        <f t="shared" si="12"/>
        <v>812.5</v>
      </c>
      <c r="N21" s="19">
        <f t="shared" si="12"/>
        <v>4062.5</v>
      </c>
      <c r="O21" s="19">
        <f t="shared" si="12"/>
        <v>4062.5</v>
      </c>
      <c r="P21" s="19">
        <f t="shared" si="12"/>
        <v>4062.5</v>
      </c>
      <c r="Q21" s="19">
        <f t="shared" si="12"/>
        <v>3250</v>
      </c>
      <c r="R21" s="19">
        <f t="shared" si="12"/>
        <v>0</v>
      </c>
      <c r="S21" s="19">
        <f t="shared" si="12"/>
        <v>0</v>
      </c>
      <c r="T21" s="19">
        <f t="shared" si="12"/>
        <v>0</v>
      </c>
      <c r="U21" s="19">
        <f t="shared" si="12"/>
        <v>0</v>
      </c>
      <c r="V21" s="19">
        <f t="shared" si="12"/>
        <v>0</v>
      </c>
      <c r="W21" s="19">
        <f t="shared" si="12"/>
        <v>0</v>
      </c>
      <c r="X21" s="19">
        <f t="shared" si="12"/>
        <v>0</v>
      </c>
      <c r="Y21" s="19"/>
      <c r="Z21" s="19">
        <f t="shared" si="9"/>
        <v>16250</v>
      </c>
    </row>
    <row r="22" spans="1:31" ht="16" customHeight="1">
      <c r="B22" s="13" t="s">
        <v>58</v>
      </c>
      <c r="C22" s="14"/>
      <c r="E22" s="13" t="s">
        <v>58</v>
      </c>
      <c r="F22" s="14"/>
      <c r="G22" s="20"/>
      <c r="H22" s="16" t="s">
        <v>28</v>
      </c>
      <c r="I22" s="19">
        <f t="shared" si="12"/>
        <v>0</v>
      </c>
      <c r="J22" s="19">
        <f t="shared" si="12"/>
        <v>0</v>
      </c>
      <c r="K22" s="19">
        <f t="shared" si="12"/>
        <v>0</v>
      </c>
      <c r="L22" s="19">
        <f t="shared" si="12"/>
        <v>0</v>
      </c>
      <c r="M22" s="19">
        <f t="shared" si="12"/>
        <v>812.5</v>
      </c>
      <c r="N22" s="19">
        <f t="shared" si="12"/>
        <v>4062.5</v>
      </c>
      <c r="O22" s="19">
        <f t="shared" si="12"/>
        <v>4062.5</v>
      </c>
      <c r="P22" s="19">
        <f t="shared" si="12"/>
        <v>4062.5</v>
      </c>
      <c r="Q22" s="19">
        <f t="shared" si="12"/>
        <v>3250</v>
      </c>
      <c r="R22" s="19">
        <f t="shared" si="12"/>
        <v>0</v>
      </c>
      <c r="S22" s="19">
        <f t="shared" si="12"/>
        <v>0</v>
      </c>
      <c r="T22" s="19">
        <f t="shared" si="12"/>
        <v>0</v>
      </c>
      <c r="U22" s="19">
        <f t="shared" si="12"/>
        <v>0</v>
      </c>
      <c r="V22" s="19">
        <f t="shared" si="12"/>
        <v>0</v>
      </c>
      <c r="W22" s="19">
        <f t="shared" si="12"/>
        <v>0</v>
      </c>
      <c r="X22" s="19">
        <f t="shared" si="12"/>
        <v>0</v>
      </c>
      <c r="Y22" s="19"/>
      <c r="Z22" s="19">
        <f t="shared" si="9"/>
        <v>16250</v>
      </c>
    </row>
    <row r="23" spans="1:31" ht="16" customHeight="1">
      <c r="B23" s="16" t="s">
        <v>122</v>
      </c>
      <c r="C23" s="31">
        <v>0.05</v>
      </c>
      <c r="E23" s="16" t="s">
        <v>122</v>
      </c>
      <c r="F23" s="31">
        <f t="shared" ref="F23:F28" si="13">C23</f>
        <v>0.05</v>
      </c>
      <c r="G23" s="20"/>
      <c r="H23" s="16" t="s">
        <v>60</v>
      </c>
      <c r="I23" s="19">
        <f t="shared" ref="I23:X23" si="14">$F$15*I5/SUM($I$5:$X$5)</f>
        <v>0</v>
      </c>
      <c r="J23" s="19">
        <f t="shared" si="14"/>
        <v>0</v>
      </c>
      <c r="K23" s="19">
        <f t="shared" si="14"/>
        <v>0</v>
      </c>
      <c r="L23" s="19">
        <f t="shared" si="14"/>
        <v>0</v>
      </c>
      <c r="M23" s="19">
        <f t="shared" si="14"/>
        <v>343.28125</v>
      </c>
      <c r="N23" s="19">
        <f t="shared" si="14"/>
        <v>1716.40625</v>
      </c>
      <c r="O23" s="19">
        <f t="shared" si="14"/>
        <v>1716.40625</v>
      </c>
      <c r="P23" s="19">
        <f t="shared" si="14"/>
        <v>1716.40625</v>
      </c>
      <c r="Q23" s="19">
        <f t="shared" si="14"/>
        <v>1373.125</v>
      </c>
      <c r="R23" s="19">
        <f t="shared" si="14"/>
        <v>0</v>
      </c>
      <c r="S23" s="19">
        <f t="shared" si="14"/>
        <v>0</v>
      </c>
      <c r="T23" s="19">
        <f t="shared" si="14"/>
        <v>0</v>
      </c>
      <c r="U23" s="19">
        <f t="shared" si="14"/>
        <v>0</v>
      </c>
      <c r="V23" s="19">
        <f t="shared" si="14"/>
        <v>0</v>
      </c>
      <c r="W23" s="19">
        <f t="shared" si="14"/>
        <v>0</v>
      </c>
      <c r="X23" s="19">
        <f t="shared" si="14"/>
        <v>0</v>
      </c>
      <c r="Y23" s="19"/>
      <c r="Z23" s="19">
        <f t="shared" si="9"/>
        <v>6865.625</v>
      </c>
      <c r="AA23" s="28"/>
    </row>
    <row r="24" spans="1:31" ht="16" customHeight="1">
      <c r="B24" s="16" t="s">
        <v>59</v>
      </c>
      <c r="C24" s="31">
        <v>0.05</v>
      </c>
      <c r="E24" s="16" t="s">
        <v>59</v>
      </c>
      <c r="F24" s="31">
        <f t="shared" si="13"/>
        <v>0.05</v>
      </c>
      <c r="H24" s="16" t="s">
        <v>61</v>
      </c>
      <c r="I24" s="19">
        <f t="shared" ref="I24:X24" si="15">I$23*$F$16*(1-$F$13)</f>
        <v>0</v>
      </c>
      <c r="J24" s="19">
        <f t="shared" si="15"/>
        <v>0</v>
      </c>
      <c r="K24" s="19">
        <f t="shared" si="15"/>
        <v>0</v>
      </c>
      <c r="L24" s="19">
        <f t="shared" si="15"/>
        <v>0</v>
      </c>
      <c r="M24" s="19">
        <f t="shared" si="15"/>
        <v>299.68453124999996</v>
      </c>
      <c r="N24" s="19">
        <f t="shared" si="15"/>
        <v>1498.42265625</v>
      </c>
      <c r="O24" s="19">
        <f t="shared" si="15"/>
        <v>1498.42265625</v>
      </c>
      <c r="P24" s="19">
        <f t="shared" si="15"/>
        <v>1498.42265625</v>
      </c>
      <c r="Q24" s="19">
        <f t="shared" si="15"/>
        <v>1198.7381249999999</v>
      </c>
      <c r="R24" s="19">
        <f t="shared" si="15"/>
        <v>0</v>
      </c>
      <c r="S24" s="19">
        <f t="shared" si="15"/>
        <v>0</v>
      </c>
      <c r="T24" s="19">
        <f t="shared" si="15"/>
        <v>0</v>
      </c>
      <c r="U24" s="19">
        <f t="shared" si="15"/>
        <v>0</v>
      </c>
      <c r="V24" s="19">
        <f t="shared" si="15"/>
        <v>0</v>
      </c>
      <c r="W24" s="19">
        <f t="shared" si="15"/>
        <v>0</v>
      </c>
      <c r="X24" s="19">
        <f t="shared" si="15"/>
        <v>0</v>
      </c>
      <c r="Y24" s="19"/>
      <c r="Z24" s="19">
        <f t="shared" si="9"/>
        <v>5993.6906250000002</v>
      </c>
    </row>
    <row r="25" spans="1:31" ht="16" customHeight="1">
      <c r="B25" s="16" t="s">
        <v>62</v>
      </c>
      <c r="C25" s="31">
        <v>0</v>
      </c>
      <c r="E25" s="16" t="s">
        <v>62</v>
      </c>
      <c r="F25" s="31">
        <f t="shared" si="13"/>
        <v>0</v>
      </c>
      <c r="H25" s="16" t="s">
        <v>63</v>
      </c>
      <c r="I25" s="19">
        <f t="shared" ref="I25:X25" si="16">I$23*(1-$F$16)*(1-$F$13)</f>
        <v>0</v>
      </c>
      <c r="J25" s="19">
        <f t="shared" si="16"/>
        <v>0</v>
      </c>
      <c r="K25" s="19">
        <f t="shared" si="16"/>
        <v>0</v>
      </c>
      <c r="L25" s="19">
        <f t="shared" si="16"/>
        <v>0</v>
      </c>
      <c r="M25" s="19">
        <f t="shared" si="16"/>
        <v>33.298281249999995</v>
      </c>
      <c r="N25" s="19">
        <f t="shared" si="16"/>
        <v>166.49140624999995</v>
      </c>
      <c r="O25" s="19">
        <f t="shared" si="16"/>
        <v>166.49140624999995</v>
      </c>
      <c r="P25" s="19">
        <f t="shared" si="16"/>
        <v>166.49140624999995</v>
      </c>
      <c r="Q25" s="19">
        <f t="shared" si="16"/>
        <v>133.19312499999998</v>
      </c>
      <c r="R25" s="19">
        <f t="shared" si="16"/>
        <v>0</v>
      </c>
      <c r="S25" s="19">
        <f t="shared" si="16"/>
        <v>0</v>
      </c>
      <c r="T25" s="19">
        <f t="shared" si="16"/>
        <v>0</v>
      </c>
      <c r="U25" s="19">
        <f t="shared" si="16"/>
        <v>0</v>
      </c>
      <c r="V25" s="19">
        <f t="shared" si="16"/>
        <v>0</v>
      </c>
      <c r="W25" s="19">
        <f t="shared" si="16"/>
        <v>0</v>
      </c>
      <c r="X25" s="19">
        <f t="shared" si="16"/>
        <v>0</v>
      </c>
      <c r="Y25" s="19"/>
      <c r="Z25" s="19">
        <f t="shared" si="9"/>
        <v>665.96562499999982</v>
      </c>
    </row>
    <row r="26" spans="1:31" ht="16" customHeight="1">
      <c r="B26" s="16" t="s">
        <v>64</v>
      </c>
      <c r="C26" s="31">
        <f>5%</f>
        <v>0.05</v>
      </c>
      <c r="E26" s="16" t="s">
        <v>64</v>
      </c>
      <c r="F26" s="31">
        <f t="shared" si="13"/>
        <v>0.05</v>
      </c>
      <c r="H26" s="16" t="s">
        <v>65</v>
      </c>
      <c r="I26" s="19">
        <f>I$23*$F$16*$F$13</f>
        <v>0</v>
      </c>
      <c r="J26" s="19">
        <f>J$23*$F$16*$F$13</f>
        <v>0</v>
      </c>
      <c r="K26" s="19">
        <f>K$23*$F$16*$F$13</f>
        <v>0</v>
      </c>
      <c r="L26" s="23">
        <f t="shared" ref="L26:X26" si="17">L$23*(1-$AA$27)*$F$13</f>
        <v>0</v>
      </c>
      <c r="M26" s="23">
        <f t="shared" si="17"/>
        <v>10.2984375</v>
      </c>
      <c r="N26" s="23">
        <f t="shared" si="17"/>
        <v>51.4921875</v>
      </c>
      <c r="O26" s="23">
        <f t="shared" si="17"/>
        <v>51.4921875</v>
      </c>
      <c r="P26" s="23">
        <f t="shared" si="17"/>
        <v>51.4921875</v>
      </c>
      <c r="Q26" s="23">
        <f t="shared" si="17"/>
        <v>41.193750000000001</v>
      </c>
      <c r="R26" s="23">
        <f t="shared" si="17"/>
        <v>0</v>
      </c>
      <c r="S26" s="23">
        <f t="shared" si="17"/>
        <v>0</v>
      </c>
      <c r="T26" s="23">
        <f t="shared" si="17"/>
        <v>0</v>
      </c>
      <c r="U26" s="23">
        <f t="shared" si="17"/>
        <v>0</v>
      </c>
      <c r="V26" s="23">
        <f t="shared" si="17"/>
        <v>0</v>
      </c>
      <c r="W26" s="23">
        <f t="shared" si="17"/>
        <v>0</v>
      </c>
      <c r="X26" s="23">
        <f t="shared" si="17"/>
        <v>0</v>
      </c>
      <c r="Y26" s="19"/>
      <c r="Z26" s="19">
        <f t="shared" si="9"/>
        <v>205.96875</v>
      </c>
      <c r="AE26" s="32"/>
    </row>
    <row r="27" spans="1:31" ht="16" customHeight="1">
      <c r="B27" s="16" t="s">
        <v>66</v>
      </c>
      <c r="C27" s="31">
        <f>1.2%+1%+0.2%</f>
        <v>2.4E-2</v>
      </c>
      <c r="E27" s="16" t="s">
        <v>66</v>
      </c>
      <c r="F27" s="31">
        <f t="shared" si="13"/>
        <v>2.4E-2</v>
      </c>
      <c r="H27" s="16" t="s">
        <v>67</v>
      </c>
      <c r="I27" s="19">
        <f>I$23*(1-$F$16)*$F$13</f>
        <v>0</v>
      </c>
      <c r="J27" s="19">
        <f>J$23*(1-$F$16)*$F$13</f>
        <v>0</v>
      </c>
      <c r="K27" s="19">
        <f>K$23*(1-$F$16)*$F$13</f>
        <v>0</v>
      </c>
      <c r="L27" s="23">
        <f t="shared" ref="L27:X27" si="18">L$23*$AA$27*$F$13</f>
        <v>0</v>
      </c>
      <c r="M27" s="23">
        <f t="shared" si="18"/>
        <v>0</v>
      </c>
      <c r="N27" s="23">
        <f t="shared" si="18"/>
        <v>0</v>
      </c>
      <c r="O27" s="23">
        <f t="shared" si="18"/>
        <v>0</v>
      </c>
      <c r="P27" s="23">
        <f t="shared" si="18"/>
        <v>0</v>
      </c>
      <c r="Q27" s="23">
        <f t="shared" si="18"/>
        <v>0</v>
      </c>
      <c r="R27" s="23">
        <f t="shared" si="18"/>
        <v>0</v>
      </c>
      <c r="S27" s="23">
        <f t="shared" si="18"/>
        <v>0</v>
      </c>
      <c r="T27" s="23">
        <f t="shared" si="18"/>
        <v>0</v>
      </c>
      <c r="U27" s="23">
        <f t="shared" si="18"/>
        <v>0</v>
      </c>
      <c r="V27" s="23">
        <f t="shared" si="18"/>
        <v>0</v>
      </c>
      <c r="W27" s="23">
        <f t="shared" si="18"/>
        <v>0</v>
      </c>
      <c r="X27" s="23">
        <f t="shared" si="18"/>
        <v>0</v>
      </c>
      <c r="Y27" s="19"/>
      <c r="Z27" s="19">
        <f t="shared" si="9"/>
        <v>0</v>
      </c>
    </row>
    <row r="28" spans="1:31" ht="16" customHeight="1">
      <c r="B28" s="16" t="s">
        <v>68</v>
      </c>
      <c r="C28" s="31">
        <f>1%+0.2%</f>
        <v>1.2E-2</v>
      </c>
      <c r="E28" s="16" t="s">
        <v>68</v>
      </c>
      <c r="F28" s="31">
        <f t="shared" si="13"/>
        <v>1.2E-2</v>
      </c>
    </row>
    <row r="29" spans="1:31" ht="16" customHeight="1">
      <c r="A29" s="20"/>
      <c r="B29" s="16" t="s">
        <v>69</v>
      </c>
      <c r="C29" s="31">
        <v>0.02</v>
      </c>
      <c r="E29" s="16"/>
      <c r="F29" s="33"/>
      <c r="H29" s="34" t="s">
        <v>70</v>
      </c>
      <c r="I29" s="35" t="str">
        <f t="shared" ref="I29:S29" si="19">I$4</f>
        <v>Q4 2018</v>
      </c>
      <c r="J29" s="35" t="str">
        <f t="shared" si="19"/>
        <v>Q1 2019</v>
      </c>
      <c r="K29" s="35" t="str">
        <f t="shared" si="19"/>
        <v>Q2 2019</v>
      </c>
      <c r="L29" s="35" t="str">
        <f t="shared" si="19"/>
        <v>Q3 2019</v>
      </c>
      <c r="M29" s="35" t="str">
        <f t="shared" si="19"/>
        <v>Q4 2019</v>
      </c>
      <c r="N29" s="35" t="str">
        <f t="shared" si="19"/>
        <v>Q1 2020</v>
      </c>
      <c r="O29" s="35" t="str">
        <f t="shared" si="19"/>
        <v>Q2 2020</v>
      </c>
      <c r="P29" s="35" t="str">
        <f t="shared" si="19"/>
        <v>Q3 2020</v>
      </c>
      <c r="Q29" s="35" t="str">
        <f t="shared" si="19"/>
        <v>Q4 2020</v>
      </c>
      <c r="R29" s="35" t="str">
        <f t="shared" si="19"/>
        <v>Q1 2021</v>
      </c>
      <c r="S29" s="35" t="str">
        <f t="shared" si="19"/>
        <v>Q2 2021</v>
      </c>
      <c r="T29" s="8" t="s">
        <v>15</v>
      </c>
      <c r="U29" s="8" t="s">
        <v>16</v>
      </c>
      <c r="V29" s="8" t="s">
        <v>17</v>
      </c>
      <c r="W29" s="8" t="s">
        <v>18</v>
      </c>
      <c r="X29" s="35" t="str">
        <f>X$4</f>
        <v>Q3 2022</v>
      </c>
      <c r="Y29" s="36"/>
      <c r="Z29" s="9" t="s">
        <v>20</v>
      </c>
    </row>
    <row r="30" spans="1:31" ht="16" customHeight="1">
      <c r="H30" s="16" t="s">
        <v>71</v>
      </c>
      <c r="I30" s="157">
        <v>300000</v>
      </c>
      <c r="J30" s="157">
        <f>4989+1164</f>
        <v>6153</v>
      </c>
      <c r="K30" s="157">
        <v>160000</v>
      </c>
      <c r="L30" s="157">
        <v>250000</v>
      </c>
      <c r="M30" s="157">
        <v>500000</v>
      </c>
      <c r="N30" s="157">
        <v>280000</v>
      </c>
      <c r="O30" s="157">
        <v>120000</v>
      </c>
      <c r="P30" s="37">
        <v>0</v>
      </c>
      <c r="Q30" s="37">
        <v>0</v>
      </c>
      <c r="R30" s="156">
        <f>-1000000</f>
        <v>-1000000</v>
      </c>
      <c r="S30" s="156">
        <v>-215000</v>
      </c>
      <c r="T30" s="156">
        <v>-215000</v>
      </c>
      <c r="U30" s="156">
        <f>-SUM(I30:T30)</f>
        <v>-186153</v>
      </c>
      <c r="V30" s="37">
        <f>(MATCH(0,$J$5:$X$5,0)=COUNTA($J5:V5))*(-$I$30)</f>
        <v>0</v>
      </c>
      <c r="W30" s="37">
        <f>(MATCH(0,$J$5:$X$5,0)=COUNTA($J5:W5))*(-$I$30)</f>
        <v>0</v>
      </c>
      <c r="X30" s="37">
        <f>(MATCH(0,$J$5:$X$5,0)=COUNTA($J5:X5))*(-$I$30)</f>
        <v>0</v>
      </c>
      <c r="Y30" s="36"/>
      <c r="Z30" s="38">
        <f>SUM(I30:X30)</f>
        <v>0</v>
      </c>
    </row>
    <row r="31" spans="1:31" ht="16" customHeight="1">
      <c r="A31" s="20"/>
      <c r="B31" s="13" t="s">
        <v>70</v>
      </c>
      <c r="C31" s="39"/>
      <c r="E31" s="13" t="s">
        <v>70</v>
      </c>
      <c r="F31" s="40"/>
      <c r="H31" s="16" t="s">
        <v>72</v>
      </c>
      <c r="I31" s="37"/>
      <c r="J31" s="37">
        <v>0</v>
      </c>
      <c r="K31" s="37">
        <v>0</v>
      </c>
      <c r="L31" s="37">
        <v>0</v>
      </c>
      <c r="M31" s="37">
        <v>8652.4208099999996</v>
      </c>
      <c r="N31" s="37">
        <v>69219.366479999997</v>
      </c>
      <c r="O31" s="37">
        <v>199005.67863000001</v>
      </c>
      <c r="P31" s="37">
        <v>370299.61782000004</v>
      </c>
      <c r="Q31" s="37">
        <v>584825.67000000004</v>
      </c>
      <c r="R31" s="37">
        <v>629812.26</v>
      </c>
      <c r="S31" s="37">
        <v>503849.80800000008</v>
      </c>
      <c r="T31" s="37">
        <v>403079.84640000004</v>
      </c>
      <c r="U31" s="37">
        <v>322463.87712000008</v>
      </c>
      <c r="V31" s="37">
        <v>184265.07264000003</v>
      </c>
      <c r="W31" s="37">
        <v>0</v>
      </c>
      <c r="X31" s="37">
        <v>0</v>
      </c>
      <c r="Y31" s="41"/>
      <c r="Z31" s="38">
        <f>SUM(I31:X31)</f>
        <v>3275473.6179</v>
      </c>
      <c r="AA31" s="29"/>
      <c r="AB31" s="29"/>
    </row>
    <row r="32" spans="1:31" ht="16" customHeight="1">
      <c r="B32" s="16" t="s">
        <v>73</v>
      </c>
      <c r="C32" s="42">
        <f>C34/12</f>
        <v>15</v>
      </c>
      <c r="E32" s="16" t="s">
        <v>73</v>
      </c>
      <c r="F32" s="43">
        <f>F33/3</f>
        <v>66.84</v>
      </c>
      <c r="H32" s="16" t="s">
        <v>74</v>
      </c>
      <c r="I32" s="44"/>
      <c r="J32" s="44">
        <v>0</v>
      </c>
      <c r="K32" s="44">
        <v>0</v>
      </c>
      <c r="L32" s="44">
        <v>0</v>
      </c>
      <c r="M32" s="44">
        <v>21534.485943749998</v>
      </c>
      <c r="N32" s="44">
        <v>150644.71465947793</v>
      </c>
      <c r="O32" s="44">
        <v>322727.22831593378</v>
      </c>
      <c r="P32" s="44">
        <v>322727.22831593378</v>
      </c>
      <c r="Q32" s="44">
        <v>301212.07976153819</v>
      </c>
      <c r="R32" s="44">
        <v>172121.18843516463</v>
      </c>
      <c r="S32" s="44">
        <v>0</v>
      </c>
      <c r="T32" s="44">
        <v>0</v>
      </c>
      <c r="U32" s="44">
        <v>0</v>
      </c>
      <c r="V32" s="44">
        <v>0</v>
      </c>
      <c r="W32" s="44">
        <v>0</v>
      </c>
      <c r="X32" s="44">
        <v>0</v>
      </c>
      <c r="Y32" s="36"/>
      <c r="Z32" s="45">
        <f>SUM(I32:X32)</f>
        <v>1290966.9254317982</v>
      </c>
      <c r="AA32" s="29"/>
      <c r="AB32" s="29"/>
    </row>
    <row r="33" spans="1:40" ht="16" customHeight="1">
      <c r="B33" s="16" t="s">
        <v>75</v>
      </c>
      <c r="C33" s="42">
        <f>C34/4</f>
        <v>45</v>
      </c>
      <c r="E33" s="16" t="s">
        <v>76</v>
      </c>
      <c r="F33" s="46">
        <f>(31+35.84)*3</f>
        <v>200.52</v>
      </c>
      <c r="H33" s="47" t="s">
        <v>77</v>
      </c>
      <c r="I33" s="48">
        <f t="shared" ref="I33:X33" si="20">SUM(I30:I32)</f>
        <v>300000</v>
      </c>
      <c r="J33" s="48">
        <f t="shared" si="20"/>
        <v>6153</v>
      </c>
      <c r="K33" s="48">
        <f t="shared" si="20"/>
        <v>160000</v>
      </c>
      <c r="L33" s="48">
        <f t="shared" si="20"/>
        <v>250000</v>
      </c>
      <c r="M33" s="48">
        <f t="shared" si="20"/>
        <v>530186.90675374994</v>
      </c>
      <c r="N33" s="48">
        <f t="shared" si="20"/>
        <v>499864.0811394779</v>
      </c>
      <c r="O33" s="48">
        <f t="shared" si="20"/>
        <v>641732.90694593382</v>
      </c>
      <c r="P33" s="48">
        <f t="shared" si="20"/>
        <v>693026.84613593388</v>
      </c>
      <c r="Q33" s="48">
        <f t="shared" si="20"/>
        <v>886037.74976153823</v>
      </c>
      <c r="R33" s="48">
        <f t="shared" si="20"/>
        <v>-198066.55156483536</v>
      </c>
      <c r="S33" s="48">
        <f t="shared" si="20"/>
        <v>288849.80800000008</v>
      </c>
      <c r="T33" s="48">
        <f t="shared" si="20"/>
        <v>188079.84640000004</v>
      </c>
      <c r="U33" s="48">
        <f t="shared" si="20"/>
        <v>136310.87712000008</v>
      </c>
      <c r="V33" s="48">
        <f t="shared" si="20"/>
        <v>184265.07264000003</v>
      </c>
      <c r="W33" s="48">
        <f t="shared" si="20"/>
        <v>0</v>
      </c>
      <c r="X33" s="48">
        <f t="shared" si="20"/>
        <v>0</v>
      </c>
      <c r="Y33" s="36"/>
      <c r="Z33" s="38">
        <f>SUM(Z30:Z32)</f>
        <v>4566440.5433317982</v>
      </c>
      <c r="AC33" s="49"/>
      <c r="AD33" s="49"/>
      <c r="AE33" s="49"/>
      <c r="AF33" s="49"/>
      <c r="AG33" s="49"/>
      <c r="AH33" s="49"/>
      <c r="AI33" s="49"/>
      <c r="AJ33" s="49"/>
      <c r="AK33" s="49"/>
      <c r="AL33" s="49"/>
      <c r="AM33" s="49"/>
      <c r="AN33" s="49"/>
    </row>
    <row r="34" spans="1:40" ht="16" customHeight="1">
      <c r="B34" s="16" t="s">
        <v>78</v>
      </c>
      <c r="C34" s="46">
        <v>180</v>
      </c>
      <c r="D34" s="50"/>
      <c r="E34" s="16" t="s">
        <v>79</v>
      </c>
      <c r="F34" s="46">
        <v>432.3668961370837</v>
      </c>
    </row>
    <row r="35" spans="1:40" ht="16" customHeight="1">
      <c r="A35" s="49"/>
      <c r="B35" s="16" t="s">
        <v>82</v>
      </c>
      <c r="C35" s="54">
        <f>C34*$F$41</f>
        <v>1494000</v>
      </c>
      <c r="E35" s="16" t="s">
        <v>82</v>
      </c>
      <c r="F35" s="54">
        <f>F33*$F$41</f>
        <v>1664316</v>
      </c>
      <c r="H35" s="6" t="s">
        <v>81</v>
      </c>
      <c r="I35" s="51" t="str">
        <f t="shared" ref="I35:S35" si="21">I$4</f>
        <v>Q4 2018</v>
      </c>
      <c r="J35" s="51" t="str">
        <f t="shared" si="21"/>
        <v>Q1 2019</v>
      </c>
      <c r="K35" s="51" t="str">
        <f t="shared" si="21"/>
        <v>Q2 2019</v>
      </c>
      <c r="L35" s="51" t="str">
        <f t="shared" si="21"/>
        <v>Q3 2019</v>
      </c>
      <c r="M35" s="51" t="str">
        <f t="shared" si="21"/>
        <v>Q4 2019</v>
      </c>
      <c r="N35" s="51" t="str">
        <f t="shared" si="21"/>
        <v>Q1 2020</v>
      </c>
      <c r="O35" s="51" t="str">
        <f t="shared" si="21"/>
        <v>Q2 2020</v>
      </c>
      <c r="P35" s="51" t="str">
        <f t="shared" si="21"/>
        <v>Q3 2020</v>
      </c>
      <c r="Q35" s="51" t="str">
        <f t="shared" si="21"/>
        <v>Q4 2020</v>
      </c>
      <c r="R35" s="51" t="str">
        <f t="shared" si="21"/>
        <v>Q1 2021</v>
      </c>
      <c r="S35" s="51" t="str">
        <f t="shared" si="21"/>
        <v>Q2 2021</v>
      </c>
      <c r="T35" s="8" t="s">
        <v>15</v>
      </c>
      <c r="U35" s="8" t="s">
        <v>16</v>
      </c>
      <c r="V35" s="8" t="s">
        <v>17</v>
      </c>
      <c r="W35" s="8" t="s">
        <v>18</v>
      </c>
      <c r="X35" s="51" t="str">
        <f>X$4</f>
        <v>Q3 2022</v>
      </c>
      <c r="Y35" s="41"/>
      <c r="Z35" s="52" t="s">
        <v>20</v>
      </c>
      <c r="AB35" s="49"/>
    </row>
    <row r="36" spans="1:40" ht="16" customHeight="1">
      <c r="H36" s="10" t="s">
        <v>23</v>
      </c>
      <c r="I36" s="53"/>
      <c r="J36" s="53"/>
      <c r="K36" s="53"/>
      <c r="L36" s="53"/>
      <c r="M36" s="53"/>
      <c r="N36" s="53"/>
      <c r="O36" s="53"/>
      <c r="P36" s="53"/>
      <c r="Q36" s="53"/>
      <c r="R36" s="53"/>
      <c r="S36" s="53"/>
      <c r="T36" s="53"/>
      <c r="U36" s="53"/>
      <c r="V36" s="53"/>
      <c r="W36" s="53"/>
      <c r="X36" s="53"/>
      <c r="Y36" s="53"/>
      <c r="Z36" s="53"/>
      <c r="AA36" s="49"/>
    </row>
    <row r="37" spans="1:40" ht="16" customHeight="1">
      <c r="B37" s="14"/>
      <c r="C37" s="56"/>
      <c r="E37" s="14" t="s">
        <v>85</v>
      </c>
      <c r="F37" s="56"/>
      <c r="H37" s="16" t="s">
        <v>83</v>
      </c>
      <c r="I37" s="55">
        <v>0</v>
      </c>
      <c r="J37" s="55">
        <v>47600</v>
      </c>
      <c r="K37" s="55">
        <v>0</v>
      </c>
      <c r="L37" s="55">
        <v>0</v>
      </c>
      <c r="M37" s="55">
        <v>44400.000000000007</v>
      </c>
      <c r="N37" s="55">
        <v>70300.000000000015</v>
      </c>
      <c r="O37" s="55">
        <v>70300.000000000015</v>
      </c>
      <c r="P37" s="55">
        <v>70300.000000000015</v>
      </c>
      <c r="Q37" s="55">
        <v>924.72435000000007</v>
      </c>
      <c r="R37" s="55">
        <v>4623.6217500000002</v>
      </c>
      <c r="S37" s="55">
        <v>4623.6217500000002</v>
      </c>
      <c r="T37" s="55">
        <v>4623.6217500000002</v>
      </c>
      <c r="U37" s="55">
        <v>3698.8974000000003</v>
      </c>
      <c r="V37" s="55">
        <v>0</v>
      </c>
      <c r="W37" s="55">
        <v>0</v>
      </c>
      <c r="X37" s="55">
        <v>0</v>
      </c>
      <c r="Y37" s="36"/>
      <c r="Z37" s="38">
        <f>SUM(I37:X37)</f>
        <v>321394.48699999996</v>
      </c>
      <c r="AA37" s="38"/>
    </row>
    <row r="38" spans="1:40" ht="16" customHeight="1">
      <c r="B38" s="57" t="s">
        <v>87</v>
      </c>
      <c r="C38" s="58">
        <v>2222</v>
      </c>
      <c r="E38" s="16" t="s">
        <v>88</v>
      </c>
      <c r="F38" s="25">
        <v>0</v>
      </c>
      <c r="H38" s="16" t="s">
        <v>84</v>
      </c>
      <c r="I38" s="55">
        <v>0</v>
      </c>
      <c r="J38" s="55">
        <v>0</v>
      </c>
      <c r="K38" s="55">
        <v>33000</v>
      </c>
      <c r="L38" s="55">
        <v>0</v>
      </c>
      <c r="M38" s="55">
        <v>0</v>
      </c>
      <c r="N38" s="55">
        <v>0</v>
      </c>
      <c r="O38" s="55">
        <v>16500</v>
      </c>
      <c r="P38" s="55">
        <v>0</v>
      </c>
      <c r="Q38" s="55">
        <v>16500</v>
      </c>
      <c r="R38" s="55">
        <v>0</v>
      </c>
      <c r="S38" s="55">
        <v>16500</v>
      </c>
      <c r="T38" s="55">
        <v>16500</v>
      </c>
      <c r="U38" s="55">
        <v>0</v>
      </c>
      <c r="V38" s="55">
        <v>0</v>
      </c>
      <c r="W38" s="55">
        <v>0</v>
      </c>
      <c r="X38" s="55">
        <v>0</v>
      </c>
      <c r="Y38" s="36"/>
      <c r="Z38" s="38">
        <f>SUM(I38:X38)</f>
        <v>99000</v>
      </c>
      <c r="AA38" s="38"/>
    </row>
    <row r="39" spans="1:40" ht="16" customHeight="1">
      <c r="B39" s="57" t="s">
        <v>90</v>
      </c>
      <c r="C39" s="43">
        <f>C38/2</f>
        <v>1111</v>
      </c>
      <c r="E39" s="16" t="s">
        <v>91</v>
      </c>
      <c r="F39" s="61">
        <v>1</v>
      </c>
      <c r="H39" s="16" t="s">
        <v>86</v>
      </c>
      <c r="I39" s="55">
        <v>0</v>
      </c>
      <c r="J39" s="55">
        <v>0</v>
      </c>
      <c r="K39" s="55">
        <v>0</v>
      </c>
      <c r="L39" s="55">
        <v>0</v>
      </c>
      <c r="M39" s="55">
        <v>0</v>
      </c>
      <c r="N39" s="55">
        <v>0</v>
      </c>
      <c r="O39" s="55">
        <v>0</v>
      </c>
      <c r="P39" s="55">
        <v>0</v>
      </c>
      <c r="Q39" s="55">
        <v>5000</v>
      </c>
      <c r="R39" s="55">
        <v>0</v>
      </c>
      <c r="S39" s="55">
        <v>5000</v>
      </c>
      <c r="T39" s="55">
        <v>5575</v>
      </c>
      <c r="U39" s="55">
        <v>0</v>
      </c>
      <c r="V39" s="55">
        <v>0</v>
      </c>
      <c r="W39" s="55">
        <v>0</v>
      </c>
      <c r="X39" s="55">
        <v>0</v>
      </c>
      <c r="Z39" s="38">
        <f>SUM(I39:X39)</f>
        <v>15575</v>
      </c>
      <c r="AA39" s="38"/>
    </row>
    <row r="40" spans="1:40" ht="16" customHeight="1">
      <c r="B40" s="57" t="s">
        <v>93</v>
      </c>
      <c r="C40" s="63">
        <v>5.2</v>
      </c>
      <c r="E40" s="57" t="s">
        <v>94</v>
      </c>
      <c r="F40" s="43">
        <f>2/5*C41*0.4</f>
        <v>924.35200000000009</v>
      </c>
      <c r="H40" s="16" t="s">
        <v>89</v>
      </c>
      <c r="I40" s="59">
        <v>0</v>
      </c>
      <c r="J40" s="59">
        <v>0</v>
      </c>
      <c r="K40" s="59">
        <v>80073.440000000002</v>
      </c>
      <c r="L40" s="59">
        <v>0</v>
      </c>
      <c r="M40" s="59">
        <v>0</v>
      </c>
      <c r="N40" s="59">
        <v>180000</v>
      </c>
      <c r="O40" s="59">
        <v>189000</v>
      </c>
      <c r="P40" s="59">
        <v>0</v>
      </c>
      <c r="Q40" s="59">
        <v>189000</v>
      </c>
      <c r="R40" s="59">
        <v>210000</v>
      </c>
      <c r="S40" s="59">
        <v>0</v>
      </c>
      <c r="T40" s="59">
        <v>156000</v>
      </c>
      <c r="U40" s="59">
        <v>0</v>
      </c>
      <c r="V40" s="59">
        <v>0</v>
      </c>
      <c r="W40" s="59">
        <v>0</v>
      </c>
      <c r="X40" s="59">
        <v>0</v>
      </c>
      <c r="Y40" s="36"/>
      <c r="Z40" s="45">
        <f>SUM(I40:X40)</f>
        <v>1004073.44</v>
      </c>
      <c r="AA40" s="38"/>
      <c r="AB40" s="60"/>
      <c r="AC40" s="60"/>
      <c r="AD40" s="60"/>
      <c r="AE40" s="60"/>
      <c r="AF40" s="60"/>
      <c r="AG40" s="60"/>
      <c r="AH40" s="60"/>
    </row>
    <row r="41" spans="1:40" ht="16" customHeight="1">
      <c r="B41" s="57" t="s">
        <v>95</v>
      </c>
      <c r="C41" s="43">
        <f>C40*C39</f>
        <v>5777.2</v>
      </c>
      <c r="E41" s="57" t="s">
        <v>96</v>
      </c>
      <c r="F41" s="27">
        <v>8300</v>
      </c>
      <c r="H41" s="62" t="s">
        <v>92</v>
      </c>
      <c r="I41" s="48">
        <v>0</v>
      </c>
      <c r="J41" s="48">
        <v>47600</v>
      </c>
      <c r="K41" s="48">
        <v>113073.44</v>
      </c>
      <c r="L41" s="48">
        <v>0</v>
      </c>
      <c r="M41" s="48">
        <v>44400.000000000007</v>
      </c>
      <c r="N41" s="48">
        <v>250300</v>
      </c>
      <c r="O41" s="48">
        <v>275800</v>
      </c>
      <c r="P41" s="48">
        <v>70300.000000000015</v>
      </c>
      <c r="Q41" s="48">
        <v>211424.72435</v>
      </c>
      <c r="R41" s="48">
        <v>214623.62174999999</v>
      </c>
      <c r="S41" s="48">
        <v>26123.621749999998</v>
      </c>
      <c r="T41" s="48">
        <v>182698.62174999999</v>
      </c>
      <c r="U41" s="48">
        <v>3698.8974000000003</v>
      </c>
      <c r="V41" s="48">
        <v>0</v>
      </c>
      <c r="W41" s="48">
        <v>0</v>
      </c>
      <c r="X41" s="48">
        <v>0</v>
      </c>
      <c r="Z41" s="38">
        <f>SUM(I41:X41)</f>
        <v>1440042.9269999997</v>
      </c>
      <c r="AB41" s="60"/>
      <c r="AC41" s="60"/>
      <c r="AD41" s="60"/>
      <c r="AE41" s="60"/>
      <c r="AF41" s="60"/>
      <c r="AG41" s="60"/>
      <c r="AH41" s="60"/>
      <c r="AI41" s="60"/>
    </row>
    <row r="42" spans="1:40" ht="16" customHeight="1">
      <c r="H42" s="10" t="s">
        <v>52</v>
      </c>
      <c r="I42" s="49"/>
      <c r="J42" s="49"/>
      <c r="K42" s="49"/>
      <c r="L42" s="49"/>
      <c r="M42" s="49"/>
      <c r="N42" s="49"/>
      <c r="O42" s="49"/>
      <c r="P42" s="49"/>
      <c r="Q42" s="49"/>
      <c r="R42" s="49"/>
      <c r="S42" s="49"/>
      <c r="T42" s="49"/>
      <c r="U42" s="49"/>
      <c r="V42" s="49"/>
      <c r="W42" s="49"/>
      <c r="X42" s="49"/>
      <c r="Y42" s="49"/>
      <c r="Z42" s="49"/>
      <c r="AI42" s="28"/>
    </row>
    <row r="43" spans="1:40" ht="16" customHeight="1">
      <c r="H43" s="16" t="s">
        <v>83</v>
      </c>
      <c r="I43" s="55">
        <v>0</v>
      </c>
      <c r="J43" s="55">
        <v>39585</v>
      </c>
      <c r="K43" s="55">
        <v>0</v>
      </c>
      <c r="L43" s="55">
        <v>0</v>
      </c>
      <c r="M43" s="55">
        <v>0</v>
      </c>
      <c r="N43" s="55">
        <v>52780</v>
      </c>
      <c r="O43" s="55">
        <v>52780</v>
      </c>
      <c r="P43" s="55">
        <v>52780</v>
      </c>
      <c r="Q43" s="55">
        <v>0</v>
      </c>
      <c r="R43" s="55">
        <v>0</v>
      </c>
      <c r="S43" s="55">
        <v>0</v>
      </c>
      <c r="T43" s="55">
        <v>0</v>
      </c>
      <c r="U43" s="55">
        <v>0</v>
      </c>
      <c r="V43" s="55">
        <v>0</v>
      </c>
      <c r="W43" s="55">
        <v>0</v>
      </c>
      <c r="X43" s="55">
        <v>0</v>
      </c>
      <c r="Y43" s="36"/>
      <c r="Z43" s="38">
        <f t="shared" ref="Z43:Z51" si="22">SUM(I43:X43)</f>
        <v>197925</v>
      </c>
      <c r="AA43" s="38"/>
    </row>
    <row r="44" spans="1:40" ht="16" customHeight="1">
      <c r="H44" s="16" t="s">
        <v>97</v>
      </c>
      <c r="I44" s="55">
        <v>0</v>
      </c>
      <c r="J44" s="55">
        <v>0</v>
      </c>
      <c r="K44" s="55">
        <v>57278</v>
      </c>
      <c r="L44" s="55">
        <v>0</v>
      </c>
      <c r="M44" s="55">
        <v>0</v>
      </c>
      <c r="N44" s="55">
        <v>106752</v>
      </c>
      <c r="O44" s="55">
        <v>69500</v>
      </c>
      <c r="P44" s="55">
        <v>33360</v>
      </c>
      <c r="Q44" s="55">
        <v>0</v>
      </c>
      <c r="R44" s="55">
        <v>0</v>
      </c>
      <c r="S44" s="55">
        <v>0</v>
      </c>
      <c r="T44" s="55">
        <v>0</v>
      </c>
      <c r="U44" s="55">
        <v>0</v>
      </c>
      <c r="V44" s="55">
        <v>0</v>
      </c>
      <c r="W44" s="55">
        <v>0</v>
      </c>
      <c r="X44" s="55">
        <v>0</v>
      </c>
      <c r="Y44" s="36"/>
      <c r="Z44" s="38">
        <f t="shared" si="22"/>
        <v>266890</v>
      </c>
      <c r="AA44" s="38"/>
    </row>
    <row r="45" spans="1:40" ht="16" customHeight="1">
      <c r="H45" s="64" t="s">
        <v>98</v>
      </c>
      <c r="I45" s="55">
        <v>0</v>
      </c>
      <c r="J45" s="55">
        <v>0</v>
      </c>
      <c r="K45" s="55">
        <v>0</v>
      </c>
      <c r="L45" s="55">
        <v>0</v>
      </c>
      <c r="M45" s="55">
        <v>5000</v>
      </c>
      <c r="N45" s="55">
        <v>26406.25</v>
      </c>
      <c r="O45" s="55">
        <v>26406.25</v>
      </c>
      <c r="P45" s="55">
        <v>26406.25</v>
      </c>
      <c r="Q45" s="55">
        <v>21125</v>
      </c>
      <c r="R45" s="55">
        <v>0</v>
      </c>
      <c r="S45" s="55">
        <v>0</v>
      </c>
      <c r="T45" s="55">
        <v>0</v>
      </c>
      <c r="U45" s="55">
        <v>0</v>
      </c>
      <c r="V45" s="55">
        <v>0</v>
      </c>
      <c r="W45" s="55">
        <v>0</v>
      </c>
      <c r="X45" s="55">
        <v>0</v>
      </c>
      <c r="Y45" s="36"/>
      <c r="Z45" s="38">
        <f t="shared" si="22"/>
        <v>105343.75</v>
      </c>
      <c r="AA45" s="38"/>
    </row>
    <row r="46" spans="1:40" ht="16" customHeight="1">
      <c r="H46" s="16" t="s">
        <v>84</v>
      </c>
      <c r="I46" s="41">
        <v>0</v>
      </c>
      <c r="J46" s="41">
        <v>0</v>
      </c>
      <c r="K46" s="41">
        <v>0</v>
      </c>
      <c r="L46" s="41">
        <v>0</v>
      </c>
      <c r="M46" s="41">
        <v>0</v>
      </c>
      <c r="N46" s="41">
        <v>0</v>
      </c>
      <c r="O46" s="41">
        <v>0</v>
      </c>
      <c r="P46" s="41">
        <v>0</v>
      </c>
      <c r="Q46" s="41">
        <v>0</v>
      </c>
      <c r="R46" s="41">
        <v>0</v>
      </c>
      <c r="S46" s="41">
        <v>0</v>
      </c>
      <c r="T46" s="41">
        <v>0</v>
      </c>
      <c r="U46" s="41">
        <v>0</v>
      </c>
      <c r="V46" s="41">
        <v>0</v>
      </c>
      <c r="W46" s="41">
        <v>0</v>
      </c>
      <c r="X46" s="41">
        <v>0</v>
      </c>
      <c r="Y46" s="36"/>
      <c r="Z46" s="38">
        <f t="shared" si="22"/>
        <v>0</v>
      </c>
    </row>
    <row r="47" spans="1:40" ht="16" customHeight="1">
      <c r="H47" s="16" t="s">
        <v>99</v>
      </c>
      <c r="I47" s="55">
        <v>0</v>
      </c>
      <c r="J47" s="55">
        <v>0</v>
      </c>
      <c r="K47" s="55">
        <v>156000</v>
      </c>
      <c r="L47" s="55">
        <v>0</v>
      </c>
      <c r="M47" s="55">
        <v>196000</v>
      </c>
      <c r="N47" s="55">
        <v>0</v>
      </c>
      <c r="O47" s="55">
        <v>0</v>
      </c>
      <c r="P47" s="55">
        <v>123200</v>
      </c>
      <c r="Q47" s="55">
        <v>0</v>
      </c>
      <c r="R47" s="55">
        <v>0</v>
      </c>
      <c r="S47" s="55">
        <v>0</v>
      </c>
      <c r="T47" s="55">
        <v>0</v>
      </c>
      <c r="U47" s="55">
        <v>0</v>
      </c>
      <c r="V47" s="55">
        <v>0</v>
      </c>
      <c r="W47" s="55">
        <v>0</v>
      </c>
      <c r="X47" s="55">
        <v>0</v>
      </c>
      <c r="Y47" s="41"/>
      <c r="Z47" s="65">
        <f t="shared" si="22"/>
        <v>475200</v>
      </c>
      <c r="AA47" s="38"/>
      <c r="AC47" s="1"/>
    </row>
    <row r="48" spans="1:40" ht="16" customHeight="1">
      <c r="H48" s="16" t="s">
        <v>100</v>
      </c>
      <c r="I48" s="59">
        <v>0</v>
      </c>
      <c r="J48" s="59">
        <v>0</v>
      </c>
      <c r="K48" s="59">
        <v>162400</v>
      </c>
      <c r="L48" s="59">
        <v>0</v>
      </c>
      <c r="M48" s="59">
        <v>0</v>
      </c>
      <c r="N48" s="59">
        <v>0</v>
      </c>
      <c r="O48" s="59">
        <v>0</v>
      </c>
      <c r="P48" s="59">
        <v>0</v>
      </c>
      <c r="Q48" s="59">
        <v>0</v>
      </c>
      <c r="R48" s="59">
        <v>0</v>
      </c>
      <c r="S48" s="59">
        <v>0</v>
      </c>
      <c r="T48" s="59">
        <v>0</v>
      </c>
      <c r="U48" s="59">
        <v>0</v>
      </c>
      <c r="V48" s="59">
        <v>0</v>
      </c>
      <c r="W48" s="59">
        <v>0</v>
      </c>
      <c r="X48" s="59">
        <v>0</v>
      </c>
      <c r="Y48" s="36"/>
      <c r="Z48" s="45">
        <f t="shared" si="22"/>
        <v>162400</v>
      </c>
      <c r="AA48" s="38"/>
      <c r="AC48" s="1"/>
    </row>
    <row r="49" spans="7:29" ht="16" customHeight="1">
      <c r="H49" s="62" t="s">
        <v>101</v>
      </c>
      <c r="I49" s="48">
        <v>0</v>
      </c>
      <c r="J49" s="48">
        <v>39585</v>
      </c>
      <c r="K49" s="48">
        <v>375678</v>
      </c>
      <c r="L49" s="48">
        <v>0</v>
      </c>
      <c r="M49" s="48">
        <v>201000</v>
      </c>
      <c r="N49" s="48">
        <v>185938.25</v>
      </c>
      <c r="O49" s="48">
        <v>148686.25</v>
      </c>
      <c r="P49" s="48">
        <v>235746.25</v>
      </c>
      <c r="Q49" s="48">
        <v>21125</v>
      </c>
      <c r="R49" s="48">
        <v>0</v>
      </c>
      <c r="S49" s="48">
        <v>0</v>
      </c>
      <c r="T49" s="48">
        <v>0</v>
      </c>
      <c r="U49" s="48">
        <v>0</v>
      </c>
      <c r="V49" s="48">
        <v>0</v>
      </c>
      <c r="W49" s="48">
        <v>0</v>
      </c>
      <c r="X49" s="48">
        <v>0</v>
      </c>
      <c r="Z49" s="38">
        <f t="shared" si="22"/>
        <v>1207758.75</v>
      </c>
      <c r="AB49" s="1"/>
      <c r="AC49" s="1"/>
    </row>
    <row r="50" spans="7:29" ht="16" customHeight="1">
      <c r="H50" s="10" t="s">
        <v>102</v>
      </c>
      <c r="I50" s="48">
        <v>0</v>
      </c>
      <c r="J50" s="48">
        <v>0</v>
      </c>
      <c r="K50" s="48">
        <v>0</v>
      </c>
      <c r="L50" s="48">
        <v>0</v>
      </c>
      <c r="M50" s="48">
        <v>12220</v>
      </c>
      <c r="N50" s="48">
        <v>0</v>
      </c>
      <c r="O50" s="48">
        <v>0</v>
      </c>
      <c r="P50" s="48">
        <v>0</v>
      </c>
      <c r="Q50" s="48">
        <v>0</v>
      </c>
      <c r="R50" s="48">
        <v>0</v>
      </c>
      <c r="S50" s="48">
        <v>0</v>
      </c>
      <c r="T50" s="48">
        <v>0</v>
      </c>
      <c r="U50" s="48">
        <v>0</v>
      </c>
      <c r="V50" s="48">
        <v>0</v>
      </c>
      <c r="W50" s="48">
        <v>0</v>
      </c>
      <c r="X50" s="48">
        <v>0</v>
      </c>
      <c r="Z50" s="65">
        <f t="shared" si="22"/>
        <v>12220</v>
      </c>
      <c r="AB50" s="1"/>
      <c r="AC50" s="1"/>
    </row>
    <row r="51" spans="7:29" ht="16" customHeight="1">
      <c r="H51" s="47" t="s">
        <v>103</v>
      </c>
      <c r="I51" s="48">
        <f t="shared" ref="I51:X51" si="23">I49+I41+I50</f>
        <v>0</v>
      </c>
      <c r="J51" s="48">
        <f t="shared" si="23"/>
        <v>87185</v>
      </c>
      <c r="K51" s="48">
        <f t="shared" si="23"/>
        <v>488751.44</v>
      </c>
      <c r="L51" s="48">
        <f t="shared" si="23"/>
        <v>0</v>
      </c>
      <c r="M51" s="48">
        <f t="shared" si="23"/>
        <v>257620</v>
      </c>
      <c r="N51" s="48">
        <f t="shared" si="23"/>
        <v>436238.25</v>
      </c>
      <c r="O51" s="48">
        <f t="shared" si="23"/>
        <v>424486.25</v>
      </c>
      <c r="P51" s="48">
        <f t="shared" si="23"/>
        <v>306046.25</v>
      </c>
      <c r="Q51" s="48">
        <f t="shared" si="23"/>
        <v>232549.72435</v>
      </c>
      <c r="R51" s="48">
        <f t="shared" si="23"/>
        <v>214623.62174999999</v>
      </c>
      <c r="S51" s="48">
        <f t="shared" si="23"/>
        <v>26123.621749999998</v>
      </c>
      <c r="T51" s="48">
        <f t="shared" si="23"/>
        <v>182698.62174999999</v>
      </c>
      <c r="U51" s="48">
        <f t="shared" si="23"/>
        <v>3698.8974000000003</v>
      </c>
      <c r="V51" s="48">
        <f t="shared" si="23"/>
        <v>0</v>
      </c>
      <c r="W51" s="48">
        <f t="shared" si="23"/>
        <v>0</v>
      </c>
      <c r="X51" s="48">
        <f t="shared" si="23"/>
        <v>0</v>
      </c>
      <c r="Y51" s="1"/>
      <c r="Z51" s="65">
        <f t="shared" si="22"/>
        <v>2660021.6769999997</v>
      </c>
      <c r="AA51" s="1"/>
      <c r="AB51" s="1"/>
      <c r="AC51" s="1"/>
    </row>
    <row r="52" spans="7:29" ht="16" customHeight="1">
      <c r="H52" s="6" t="s">
        <v>58</v>
      </c>
      <c r="I52" s="51" t="str">
        <f t="shared" ref="I52:S52" si="24">I$4</f>
        <v>Q4 2018</v>
      </c>
      <c r="J52" s="51" t="str">
        <f t="shared" si="24"/>
        <v>Q1 2019</v>
      </c>
      <c r="K52" s="51" t="str">
        <f t="shared" si="24"/>
        <v>Q2 2019</v>
      </c>
      <c r="L52" s="51" t="str">
        <f t="shared" si="24"/>
        <v>Q3 2019</v>
      </c>
      <c r="M52" s="51" t="str">
        <f t="shared" si="24"/>
        <v>Q4 2019</v>
      </c>
      <c r="N52" s="51" t="str">
        <f t="shared" si="24"/>
        <v>Q1 2020</v>
      </c>
      <c r="O52" s="51" t="str">
        <f t="shared" si="24"/>
        <v>Q2 2020</v>
      </c>
      <c r="P52" s="51" t="str">
        <f t="shared" si="24"/>
        <v>Q3 2020</v>
      </c>
      <c r="Q52" s="51" t="str">
        <f t="shared" si="24"/>
        <v>Q4 2020</v>
      </c>
      <c r="R52" s="51" t="str">
        <f t="shared" si="24"/>
        <v>Q1 2021</v>
      </c>
      <c r="S52" s="51" t="str">
        <f t="shared" si="24"/>
        <v>Q2 2021</v>
      </c>
      <c r="T52" s="8" t="s">
        <v>15</v>
      </c>
      <c r="U52" s="8" t="s">
        <v>16</v>
      </c>
      <c r="V52" s="8" t="s">
        <v>17</v>
      </c>
      <c r="W52" s="8" t="s">
        <v>18</v>
      </c>
      <c r="X52" s="51" t="str">
        <f>X$4</f>
        <v>Q3 2022</v>
      </c>
      <c r="Y52" s="41"/>
      <c r="Z52" s="52" t="s">
        <v>20</v>
      </c>
      <c r="AB52" s="1"/>
      <c r="AC52" s="1"/>
    </row>
    <row r="53" spans="7:29" ht="16" customHeight="1">
      <c r="G53" s="50"/>
      <c r="H53" s="16" t="s">
        <v>122</v>
      </c>
      <c r="I53" s="55">
        <v>20000</v>
      </c>
      <c r="J53" s="55">
        <v>0</v>
      </c>
      <c r="K53" s="55">
        <v>20000</v>
      </c>
      <c r="L53" s="55">
        <v>0</v>
      </c>
      <c r="M53" s="55">
        <v>20000</v>
      </c>
      <c r="N53" s="55">
        <v>20000</v>
      </c>
      <c r="O53" s="55">
        <v>20000</v>
      </c>
      <c r="P53" s="55">
        <v>14000</v>
      </c>
      <c r="Q53" s="55">
        <v>0</v>
      </c>
      <c r="R53" s="55">
        <v>0</v>
      </c>
      <c r="S53" s="55">
        <v>0</v>
      </c>
      <c r="T53" s="55">
        <v>0</v>
      </c>
      <c r="U53" s="55">
        <v>0</v>
      </c>
      <c r="V53" s="55">
        <v>0</v>
      </c>
      <c r="W53" s="55">
        <v>0</v>
      </c>
      <c r="X53" s="55">
        <v>0</v>
      </c>
      <c r="Y53" s="36"/>
      <c r="Z53" s="38">
        <f t="shared" ref="Z53:Z61" si="25">SUM(I53:X53)</f>
        <v>114000</v>
      </c>
      <c r="AB53" s="48"/>
      <c r="AC53" s="1"/>
    </row>
    <row r="54" spans="7:29" ht="16" customHeight="1">
      <c r="H54" s="16" t="s">
        <v>59</v>
      </c>
      <c r="I54" s="55">
        <v>15443</v>
      </c>
      <c r="J54" s="55">
        <v>6341</v>
      </c>
      <c r="K54" s="55">
        <v>16781</v>
      </c>
      <c r="L54" s="55">
        <v>21670.46</v>
      </c>
      <c r="M54" s="55">
        <v>2797</v>
      </c>
      <c r="N54" s="55">
        <v>20000</v>
      </c>
      <c r="O54" s="55">
        <v>20000</v>
      </c>
      <c r="P54" s="55">
        <v>10967.540000000008</v>
      </c>
      <c r="Q54" s="55">
        <v>0</v>
      </c>
      <c r="R54" s="55">
        <v>0</v>
      </c>
      <c r="S54" s="55">
        <v>0</v>
      </c>
      <c r="T54" s="55">
        <v>0</v>
      </c>
      <c r="U54" s="55">
        <v>0</v>
      </c>
      <c r="V54" s="55">
        <v>0</v>
      </c>
      <c r="W54" s="55">
        <v>0</v>
      </c>
      <c r="X54" s="55">
        <v>0</v>
      </c>
      <c r="Y54" s="36"/>
      <c r="Z54" s="38">
        <f t="shared" si="25"/>
        <v>114000</v>
      </c>
      <c r="AB54" s="48"/>
      <c r="AC54" s="1"/>
    </row>
    <row r="55" spans="7:29" ht="16" customHeight="1">
      <c r="H55" s="16" t="s">
        <v>64</v>
      </c>
      <c r="I55" s="55">
        <v>0</v>
      </c>
      <c r="J55" s="55">
        <v>0</v>
      </c>
      <c r="K55" s="55">
        <v>0</v>
      </c>
      <c r="L55" s="55">
        <v>0</v>
      </c>
      <c r="M55" s="55">
        <v>3667.0068952184383</v>
      </c>
      <c r="N55" s="55">
        <v>18335.034476092191</v>
      </c>
      <c r="O55" s="55">
        <v>18335.034476092191</v>
      </c>
      <c r="P55" s="55">
        <v>18335.034476092191</v>
      </c>
      <c r="Q55" s="55">
        <v>14668.027580873753</v>
      </c>
      <c r="R55" s="55">
        <v>0</v>
      </c>
      <c r="S55" s="55">
        <v>0</v>
      </c>
      <c r="T55" s="55">
        <v>0</v>
      </c>
      <c r="U55" s="55">
        <v>0</v>
      </c>
      <c r="V55" s="55">
        <v>0</v>
      </c>
      <c r="W55" s="55">
        <v>0</v>
      </c>
      <c r="X55" s="55">
        <v>0</v>
      </c>
      <c r="Z55" s="38">
        <f t="shared" si="25"/>
        <v>73340.137904368763</v>
      </c>
      <c r="AB55" s="48"/>
      <c r="AC55" s="1"/>
    </row>
    <row r="56" spans="7:29" ht="16" customHeight="1">
      <c r="H56" s="16" t="s">
        <v>62</v>
      </c>
      <c r="I56" s="41">
        <v>0</v>
      </c>
      <c r="J56" s="41">
        <v>0</v>
      </c>
      <c r="K56" s="41">
        <v>0</v>
      </c>
      <c r="L56" s="41">
        <v>0</v>
      </c>
      <c r="M56" s="41">
        <v>0</v>
      </c>
      <c r="N56" s="41">
        <v>0</v>
      </c>
      <c r="O56" s="41">
        <v>0</v>
      </c>
      <c r="P56" s="41">
        <v>0</v>
      </c>
      <c r="Q56" s="41">
        <v>0</v>
      </c>
      <c r="R56" s="41">
        <v>0</v>
      </c>
      <c r="S56" s="41">
        <v>0</v>
      </c>
      <c r="T56" s="41">
        <v>0</v>
      </c>
      <c r="U56" s="41">
        <v>0</v>
      </c>
      <c r="V56" s="41">
        <v>0</v>
      </c>
      <c r="W56" s="41">
        <v>0</v>
      </c>
      <c r="X56" s="41">
        <v>0</v>
      </c>
      <c r="Z56" s="38">
        <f t="shared" si="25"/>
        <v>0</v>
      </c>
      <c r="AB56" s="48"/>
      <c r="AC56" s="1"/>
    </row>
    <row r="57" spans="7:29" ht="16" customHeight="1">
      <c r="H57" s="16" t="s">
        <v>104</v>
      </c>
      <c r="I57" s="55">
        <v>7085.09</v>
      </c>
      <c r="J57" s="55">
        <v>41301</v>
      </c>
      <c r="K57" s="55">
        <v>1400</v>
      </c>
      <c r="L57" s="55"/>
      <c r="M57" s="55"/>
      <c r="N57" s="55"/>
      <c r="O57" s="55">
        <v>40000</v>
      </c>
      <c r="P57" s="55"/>
      <c r="Q57" s="55"/>
      <c r="R57" s="55"/>
      <c r="S57" s="55"/>
      <c r="T57" s="55"/>
      <c r="U57" s="55"/>
      <c r="V57" s="55"/>
      <c r="W57" s="55"/>
      <c r="X57" s="55"/>
      <c r="Y57" s="36"/>
      <c r="Z57" s="38">
        <f t="shared" si="25"/>
        <v>89786.09</v>
      </c>
      <c r="AB57" s="48"/>
      <c r="AC57" s="1"/>
    </row>
    <row r="58" spans="7:29" ht="16" customHeight="1">
      <c r="H58" s="16" t="s">
        <v>105</v>
      </c>
      <c r="I58" s="55">
        <v>0</v>
      </c>
      <c r="J58" s="55">
        <v>1046.22</v>
      </c>
      <c r="K58" s="55">
        <v>19473.706560000002</v>
      </c>
      <c r="L58" s="55">
        <v>0</v>
      </c>
      <c r="M58" s="55">
        <v>11260.464</v>
      </c>
      <c r="N58" s="55">
        <v>11383.659</v>
      </c>
      <c r="O58" s="55">
        <v>11342.355</v>
      </c>
      <c r="P58" s="55">
        <v>9252.4590000000007</v>
      </c>
      <c r="Q58" s="55">
        <v>11592.596692200001</v>
      </c>
      <c r="R58" s="55">
        <v>11755.483461</v>
      </c>
      <c r="S58" s="55">
        <v>313.48346099999998</v>
      </c>
      <c r="T58" s="55">
        <v>8780.3834609999994</v>
      </c>
      <c r="U58" s="55">
        <v>44.386768800000006</v>
      </c>
      <c r="V58" s="55">
        <v>0</v>
      </c>
      <c r="W58" s="55">
        <v>0</v>
      </c>
      <c r="X58" s="55">
        <v>0</v>
      </c>
      <c r="Y58" s="36"/>
      <c r="Z58" s="38">
        <f t="shared" si="25"/>
        <v>96245.197403999991</v>
      </c>
      <c r="AB58" s="48"/>
      <c r="AC58" s="1"/>
    </row>
    <row r="59" spans="7:29" ht="16" customHeight="1">
      <c r="H59" s="16" t="s">
        <v>106</v>
      </c>
      <c r="I59" s="155">
        <v>0</v>
      </c>
      <c r="J59" s="155">
        <v>0</v>
      </c>
      <c r="K59" s="155">
        <v>0</v>
      </c>
      <c r="L59" s="155">
        <v>0</v>
      </c>
      <c r="M59" s="155">
        <v>603.73813507499995</v>
      </c>
      <c r="N59" s="155">
        <v>4397.2816227895592</v>
      </c>
      <c r="O59" s="155">
        <v>10434.658138918676</v>
      </c>
      <c r="P59" s="155">
        <v>13860.536922718678</v>
      </c>
      <c r="Q59" s="155">
        <v>17720.754995230764</v>
      </c>
      <c r="R59" s="155">
        <v>16038.668968703294</v>
      </c>
      <c r="S59" s="155">
        <v>10076.996160000002</v>
      </c>
      <c r="T59" s="155">
        <v>8061.5969280000008</v>
      </c>
      <c r="U59" s="155">
        <v>6449.2775424000019</v>
      </c>
      <c r="V59" s="155">
        <v>3685.3014528000008</v>
      </c>
      <c r="W59" s="155">
        <v>0</v>
      </c>
      <c r="X59" s="155">
        <v>0</v>
      </c>
      <c r="Z59" s="38">
        <f t="shared" si="25"/>
        <v>91328.810866635977</v>
      </c>
      <c r="AB59" s="48"/>
    </row>
    <row r="60" spans="7:29" ht="16" customHeight="1">
      <c r="H60" s="16" t="s">
        <v>107</v>
      </c>
      <c r="I60" s="66">
        <v>0</v>
      </c>
      <c r="J60" s="66">
        <v>0</v>
      </c>
      <c r="K60" s="66">
        <v>0</v>
      </c>
      <c r="L60" s="66">
        <v>0</v>
      </c>
      <c r="M60" s="66">
        <v>0</v>
      </c>
      <c r="N60" s="66">
        <v>0</v>
      </c>
      <c r="O60" s="66">
        <v>0</v>
      </c>
      <c r="P60" s="66">
        <v>0</v>
      </c>
      <c r="Q60" s="66">
        <v>0</v>
      </c>
      <c r="R60" s="66">
        <v>0</v>
      </c>
      <c r="S60" s="66">
        <v>0</v>
      </c>
      <c r="T60" s="66">
        <v>0</v>
      </c>
      <c r="U60" s="66">
        <v>0</v>
      </c>
      <c r="V60" s="66">
        <v>0</v>
      </c>
      <c r="W60" s="66">
        <v>0</v>
      </c>
      <c r="X60" s="66">
        <v>0</v>
      </c>
      <c r="Z60" s="45">
        <f t="shared" si="25"/>
        <v>0</v>
      </c>
      <c r="AB60" s="48"/>
    </row>
    <row r="61" spans="7:29" ht="16" customHeight="1">
      <c r="H61" s="47" t="s">
        <v>108</v>
      </c>
      <c r="I61" s="48">
        <f t="shared" ref="I61:X61" si="26">SUM(I53:I60)</f>
        <v>42528.09</v>
      </c>
      <c r="J61" s="48">
        <f t="shared" si="26"/>
        <v>48688.22</v>
      </c>
      <c r="K61" s="48">
        <f t="shared" si="26"/>
        <v>57654.706560000006</v>
      </c>
      <c r="L61" s="48">
        <f t="shared" si="26"/>
        <v>21670.46</v>
      </c>
      <c r="M61" s="48">
        <f t="shared" si="26"/>
        <v>38328.209030293438</v>
      </c>
      <c r="N61" s="48">
        <f t="shared" si="26"/>
        <v>74115.97509888174</v>
      </c>
      <c r="O61" s="48">
        <f t="shared" si="26"/>
        <v>120112.04761501086</v>
      </c>
      <c r="P61" s="48">
        <f t="shared" si="26"/>
        <v>66415.570398810873</v>
      </c>
      <c r="Q61" s="48">
        <f t="shared" si="26"/>
        <v>43981.379268304518</v>
      </c>
      <c r="R61" s="48">
        <f t="shared" si="26"/>
        <v>27794.152429703296</v>
      </c>
      <c r="S61" s="48">
        <f t="shared" si="26"/>
        <v>10390.479621000002</v>
      </c>
      <c r="T61" s="48">
        <f t="shared" si="26"/>
        <v>16841.980389</v>
      </c>
      <c r="U61" s="48">
        <f t="shared" si="26"/>
        <v>6493.664311200002</v>
      </c>
      <c r="V61" s="48">
        <f t="shared" si="26"/>
        <v>3685.3014528000008</v>
      </c>
      <c r="W61" s="48">
        <f t="shared" si="26"/>
        <v>0</v>
      </c>
      <c r="X61" s="48">
        <f t="shared" si="26"/>
        <v>0</v>
      </c>
      <c r="Z61" s="38">
        <f t="shared" si="25"/>
        <v>578700.23617500486</v>
      </c>
      <c r="AB61" s="48"/>
    </row>
    <row r="62" spans="7:29" ht="16" hidden="1" customHeight="1" outlineLevel="1">
      <c r="H62" s="47" t="s">
        <v>109</v>
      </c>
      <c r="I62" s="48">
        <v>32185.29298100188</v>
      </c>
      <c r="J62" s="48">
        <v>46362.80144746587</v>
      </c>
      <c r="K62" s="48">
        <v>33985.619547484974</v>
      </c>
      <c r="L62" s="48">
        <v>15346.695953832406</v>
      </c>
      <c r="M62" s="48">
        <v>19556.413896068472</v>
      </c>
      <c r="N62" s="48">
        <v>53253.988973607331</v>
      </c>
      <c r="O62" s="48">
        <v>99697.085489736448</v>
      </c>
      <c r="P62" s="48">
        <v>43762.680729147105</v>
      </c>
      <c r="Q62" s="48">
        <v>38161.375738892748</v>
      </c>
      <c r="R62" s="48">
        <v>27794.152429703296</v>
      </c>
      <c r="S62" s="48">
        <v>10390.479621000002</v>
      </c>
      <c r="T62" s="48">
        <v>16841.980389</v>
      </c>
      <c r="U62" s="48">
        <v>6493.664311200002</v>
      </c>
      <c r="V62" s="48">
        <v>3685.3014528000008</v>
      </c>
      <c r="W62" s="48">
        <v>0</v>
      </c>
      <c r="X62" s="48">
        <v>0</v>
      </c>
      <c r="Z62" s="38">
        <v>447517.53296094056</v>
      </c>
    </row>
    <row r="63" spans="7:29" ht="16" hidden="1" customHeight="1" outlineLevel="1">
      <c r="H63" s="47" t="s">
        <v>110</v>
      </c>
      <c r="I63" s="48">
        <v>10032.513108428178</v>
      </c>
      <c r="J63" s="48">
        <v>2255.6559959581036</v>
      </c>
      <c r="K63" s="48">
        <v>16949.189570139573</v>
      </c>
      <c r="L63" s="48">
        <v>6134.0511247825671</v>
      </c>
      <c r="M63" s="48">
        <v>18237.499976668809</v>
      </c>
      <c r="N63" s="48">
        <v>18780.270423869133</v>
      </c>
      <c r="O63" s="48">
        <v>18346.657143869132</v>
      </c>
      <c r="P63" s="48">
        <v>20729.195981926798</v>
      </c>
      <c r="Q63" s="48">
        <v>4480.7185294117653</v>
      </c>
      <c r="R63" s="48">
        <v>0</v>
      </c>
      <c r="S63" s="48">
        <v>0</v>
      </c>
      <c r="T63" s="48">
        <v>0</v>
      </c>
      <c r="U63" s="48">
        <v>0</v>
      </c>
      <c r="V63" s="48">
        <v>0</v>
      </c>
      <c r="W63" s="48">
        <v>0</v>
      </c>
      <c r="X63" s="48">
        <v>0</v>
      </c>
      <c r="Y63" s="1"/>
      <c r="Z63" s="38">
        <v>115945.75185505406</v>
      </c>
    </row>
    <row r="64" spans="7:29" ht="16" hidden="1" customHeight="1" outlineLevel="1">
      <c r="H64" s="47" t="s">
        <v>111</v>
      </c>
      <c r="I64" s="48">
        <v>310.28391056994366</v>
      </c>
      <c r="J64" s="48">
        <v>69.762556576023826</v>
      </c>
      <c r="K64" s="48">
        <v>6719.8974423754507</v>
      </c>
      <c r="L64" s="48">
        <v>189.71292138502784</v>
      </c>
      <c r="M64" s="48">
        <v>534.2951575561608</v>
      </c>
      <c r="N64" s="48">
        <v>2081.7157014052918</v>
      </c>
      <c r="O64" s="48">
        <v>2068.3049814052915</v>
      </c>
      <c r="P64" s="48">
        <v>1923.6936877369722</v>
      </c>
      <c r="Q64" s="48">
        <v>1339.2850000000003</v>
      </c>
      <c r="R64" s="48">
        <v>0</v>
      </c>
      <c r="S64" s="48">
        <v>0</v>
      </c>
      <c r="T64" s="48">
        <v>0</v>
      </c>
      <c r="U64" s="48">
        <v>0</v>
      </c>
      <c r="V64" s="48">
        <v>0</v>
      </c>
      <c r="W64" s="48">
        <v>0</v>
      </c>
      <c r="X64" s="48">
        <v>0</v>
      </c>
      <c r="Y64" s="1"/>
      <c r="Z64" s="38">
        <v>15236.951359010163</v>
      </c>
    </row>
    <row r="65" spans="8:27" ht="16" customHeight="1" collapsed="1">
      <c r="H65" s="6"/>
      <c r="I65" s="51" t="str">
        <f t="shared" ref="I65:S65" si="27">I$4</f>
        <v>Q4 2018</v>
      </c>
      <c r="J65" s="51" t="str">
        <f t="shared" si="27"/>
        <v>Q1 2019</v>
      </c>
      <c r="K65" s="51" t="str">
        <f t="shared" si="27"/>
        <v>Q2 2019</v>
      </c>
      <c r="L65" s="51" t="str">
        <f t="shared" si="27"/>
        <v>Q3 2019</v>
      </c>
      <c r="M65" s="51" t="str">
        <f t="shared" si="27"/>
        <v>Q4 2019</v>
      </c>
      <c r="N65" s="51" t="str">
        <f t="shared" si="27"/>
        <v>Q1 2020</v>
      </c>
      <c r="O65" s="51" t="str">
        <f t="shared" si="27"/>
        <v>Q2 2020</v>
      </c>
      <c r="P65" s="51" t="str">
        <f t="shared" si="27"/>
        <v>Q3 2020</v>
      </c>
      <c r="Q65" s="51" t="str">
        <f t="shared" si="27"/>
        <v>Q4 2020</v>
      </c>
      <c r="R65" s="51" t="str">
        <f t="shared" si="27"/>
        <v>Q1 2021</v>
      </c>
      <c r="S65" s="51" t="str">
        <f t="shared" si="27"/>
        <v>Q2 2021</v>
      </c>
      <c r="T65" s="8" t="s">
        <v>15</v>
      </c>
      <c r="U65" s="8" t="s">
        <v>16</v>
      </c>
      <c r="V65" s="8" t="s">
        <v>17</v>
      </c>
      <c r="W65" s="8" t="s">
        <v>18</v>
      </c>
      <c r="X65" s="51" t="str">
        <f>X$4</f>
        <v>Q3 2022</v>
      </c>
      <c r="Y65" s="41"/>
      <c r="Z65" s="52" t="s">
        <v>20</v>
      </c>
    </row>
    <row r="66" spans="8:27" ht="16" customHeight="1">
      <c r="H66" s="16" t="s">
        <v>112</v>
      </c>
      <c r="I66" s="48">
        <f t="shared" ref="I66:X66" si="28">I41+I50+I62</f>
        <v>32185.29298100188</v>
      </c>
      <c r="J66" s="48">
        <f t="shared" si="28"/>
        <v>93962.80144746587</v>
      </c>
      <c r="K66" s="48">
        <f t="shared" si="28"/>
        <v>147059.05954748497</v>
      </c>
      <c r="L66" s="48">
        <f t="shared" si="28"/>
        <v>15346.695953832406</v>
      </c>
      <c r="M66" s="48">
        <f t="shared" si="28"/>
        <v>76176.41389606848</v>
      </c>
      <c r="N66" s="48">
        <f t="shared" si="28"/>
        <v>303553.98897360731</v>
      </c>
      <c r="O66" s="48">
        <f t="shared" si="28"/>
        <v>375497.08548973646</v>
      </c>
      <c r="P66" s="48">
        <f t="shared" si="28"/>
        <v>114062.68072914712</v>
      </c>
      <c r="Q66" s="48">
        <f t="shared" si="28"/>
        <v>249586.10008889274</v>
      </c>
      <c r="R66" s="48">
        <f t="shared" si="28"/>
        <v>242417.77417970329</v>
      </c>
      <c r="S66" s="48">
        <f t="shared" si="28"/>
        <v>36514.101370999997</v>
      </c>
      <c r="T66" s="48">
        <f t="shared" si="28"/>
        <v>199540.602139</v>
      </c>
      <c r="U66" s="48">
        <f t="shared" si="28"/>
        <v>10192.561711200002</v>
      </c>
      <c r="V66" s="48">
        <f t="shared" si="28"/>
        <v>3685.3014528000008</v>
      </c>
      <c r="W66" s="48">
        <f t="shared" si="28"/>
        <v>0</v>
      </c>
      <c r="X66" s="48">
        <f t="shared" si="28"/>
        <v>0</v>
      </c>
      <c r="Y66" s="1"/>
      <c r="Z66" s="67">
        <f>SUM(I66:X66)</f>
        <v>1899780.4599609405</v>
      </c>
    </row>
    <row r="67" spans="8:27" ht="16" customHeight="1">
      <c r="H67" s="16" t="s">
        <v>113</v>
      </c>
      <c r="I67" s="48">
        <f t="shared" ref="I67:X67" si="29">I49+I63+I64</f>
        <v>10342.797018998122</v>
      </c>
      <c r="J67" s="48">
        <f t="shared" si="29"/>
        <v>41910.418552534131</v>
      </c>
      <c r="K67" s="48">
        <f t="shared" si="29"/>
        <v>399347.087012515</v>
      </c>
      <c r="L67" s="48">
        <f t="shared" si="29"/>
        <v>6323.7640461675946</v>
      </c>
      <c r="M67" s="48">
        <f t="shared" si="29"/>
        <v>219771.79513422496</v>
      </c>
      <c r="N67" s="48">
        <f t="shared" si="29"/>
        <v>206800.23612527442</v>
      </c>
      <c r="O67" s="48">
        <f t="shared" si="29"/>
        <v>169101.21212527444</v>
      </c>
      <c r="P67" s="48">
        <f t="shared" si="29"/>
        <v>258399.13966966377</v>
      </c>
      <c r="Q67" s="48">
        <f t="shared" si="29"/>
        <v>26945.003529411766</v>
      </c>
      <c r="R67" s="48">
        <f t="shared" si="29"/>
        <v>0</v>
      </c>
      <c r="S67" s="48">
        <f t="shared" si="29"/>
        <v>0</v>
      </c>
      <c r="T67" s="48">
        <f t="shared" si="29"/>
        <v>0</v>
      </c>
      <c r="U67" s="48">
        <f t="shared" si="29"/>
        <v>0</v>
      </c>
      <c r="V67" s="48">
        <f t="shared" si="29"/>
        <v>0</v>
      </c>
      <c r="W67" s="48">
        <f t="shared" si="29"/>
        <v>0</v>
      </c>
      <c r="X67" s="48">
        <f t="shared" si="29"/>
        <v>0</v>
      </c>
      <c r="Y67" s="1"/>
      <c r="Z67" s="67">
        <f>SUM(I67:X67)</f>
        <v>1338941.4532140642</v>
      </c>
    </row>
    <row r="68" spans="8:27" ht="16" customHeight="1">
      <c r="H68" s="68" t="s">
        <v>114</v>
      </c>
      <c r="I68" s="48">
        <f t="shared" ref="I68:X68" si="30">SUM(I43:I46)*(1-$F$13)+I47+I63</f>
        <v>10032.513108428178</v>
      </c>
      <c r="J68" s="48">
        <f t="shared" si="30"/>
        <v>40653.105995958103</v>
      </c>
      <c r="K68" s="48">
        <f t="shared" si="30"/>
        <v>228508.84957013957</v>
      </c>
      <c r="L68" s="48">
        <f t="shared" si="30"/>
        <v>6134.0511247825671</v>
      </c>
      <c r="M68" s="48">
        <f t="shared" si="30"/>
        <v>219087.4999766688</v>
      </c>
      <c r="N68" s="48">
        <f t="shared" si="30"/>
        <v>199140.37292386914</v>
      </c>
      <c r="O68" s="48">
        <f t="shared" si="30"/>
        <v>162572.31964386912</v>
      </c>
      <c r="P68" s="48">
        <f t="shared" si="30"/>
        <v>253099.0584819268</v>
      </c>
      <c r="Q68" s="48">
        <f t="shared" si="30"/>
        <v>24971.968529411766</v>
      </c>
      <c r="R68" s="48">
        <f t="shared" si="30"/>
        <v>0</v>
      </c>
      <c r="S68" s="48">
        <f t="shared" si="30"/>
        <v>0</v>
      </c>
      <c r="T68" s="48">
        <f t="shared" si="30"/>
        <v>0</v>
      </c>
      <c r="U68" s="48">
        <f t="shared" si="30"/>
        <v>0</v>
      </c>
      <c r="V68" s="48">
        <f t="shared" si="30"/>
        <v>0</v>
      </c>
      <c r="W68" s="48">
        <f t="shared" si="30"/>
        <v>0</v>
      </c>
      <c r="X68" s="48">
        <f t="shared" si="30"/>
        <v>0</v>
      </c>
      <c r="Y68" s="1"/>
      <c r="Z68" s="67">
        <f>SUM(I68:X68)</f>
        <v>1144199.7393550542</v>
      </c>
      <c r="AA68" s="29"/>
    </row>
    <row r="69" spans="8:27" ht="16" customHeight="1">
      <c r="H69" s="68" t="s">
        <v>115</v>
      </c>
      <c r="I69" s="66">
        <f t="shared" ref="I69:X69" si="31">SUM(I43:I46)*($F$13)+I48+I64</f>
        <v>310.28391056994366</v>
      </c>
      <c r="J69" s="66">
        <f t="shared" si="31"/>
        <v>1257.3125565760238</v>
      </c>
      <c r="K69" s="66">
        <f t="shared" si="31"/>
        <v>170838.23744237545</v>
      </c>
      <c r="L69" s="66">
        <f t="shared" si="31"/>
        <v>189.71292138502784</v>
      </c>
      <c r="M69" s="66">
        <f t="shared" si="31"/>
        <v>684.2951575561608</v>
      </c>
      <c r="N69" s="66">
        <f t="shared" si="31"/>
        <v>7659.8632014052919</v>
      </c>
      <c r="O69" s="66">
        <f t="shared" si="31"/>
        <v>6528.8924814052916</v>
      </c>
      <c r="P69" s="66">
        <f t="shared" si="31"/>
        <v>5300.0811877369724</v>
      </c>
      <c r="Q69" s="66">
        <f t="shared" si="31"/>
        <v>1973.0350000000003</v>
      </c>
      <c r="R69" s="66">
        <f t="shared" si="31"/>
        <v>0</v>
      </c>
      <c r="S69" s="66">
        <f t="shared" si="31"/>
        <v>0</v>
      </c>
      <c r="T69" s="66">
        <f t="shared" si="31"/>
        <v>0</v>
      </c>
      <c r="U69" s="66">
        <f t="shared" si="31"/>
        <v>0</v>
      </c>
      <c r="V69" s="66">
        <f t="shared" si="31"/>
        <v>0</v>
      </c>
      <c r="W69" s="66">
        <f t="shared" si="31"/>
        <v>0</v>
      </c>
      <c r="X69" s="66">
        <f t="shared" si="31"/>
        <v>0</v>
      </c>
      <c r="Y69" s="69"/>
      <c r="Z69" s="70">
        <f>SUM(I69:X69)</f>
        <v>194741.7138590102</v>
      </c>
    </row>
    <row r="70" spans="8:27" ht="16" customHeight="1">
      <c r="H70" s="16" t="s">
        <v>116</v>
      </c>
      <c r="I70" s="48">
        <f t="shared" ref="I70:X70" si="32">I51+I61</f>
        <v>42528.09</v>
      </c>
      <c r="J70" s="48">
        <f t="shared" si="32"/>
        <v>135873.22</v>
      </c>
      <c r="K70" s="48">
        <f t="shared" si="32"/>
        <v>546406.14656000002</v>
      </c>
      <c r="L70" s="48">
        <f t="shared" si="32"/>
        <v>21670.46</v>
      </c>
      <c r="M70" s="48">
        <f t="shared" si="32"/>
        <v>295948.20903029345</v>
      </c>
      <c r="N70" s="48">
        <f t="shared" si="32"/>
        <v>510354.22509888175</v>
      </c>
      <c r="O70" s="48">
        <f t="shared" si="32"/>
        <v>544598.29761501087</v>
      </c>
      <c r="P70" s="48">
        <f t="shared" si="32"/>
        <v>372461.8203988109</v>
      </c>
      <c r="Q70" s="48">
        <f t="shared" si="32"/>
        <v>276531.10361830454</v>
      </c>
      <c r="R70" s="48">
        <f t="shared" si="32"/>
        <v>242417.77417970329</v>
      </c>
      <c r="S70" s="48">
        <f t="shared" si="32"/>
        <v>36514.101370999997</v>
      </c>
      <c r="T70" s="48">
        <f t="shared" si="32"/>
        <v>199540.602139</v>
      </c>
      <c r="U70" s="48">
        <f t="shared" si="32"/>
        <v>10192.561711200002</v>
      </c>
      <c r="V70" s="48">
        <f t="shared" si="32"/>
        <v>3685.3014528000008</v>
      </c>
      <c r="W70" s="48">
        <f t="shared" si="32"/>
        <v>0</v>
      </c>
      <c r="X70" s="48">
        <f t="shared" si="32"/>
        <v>0</v>
      </c>
      <c r="Y70" s="1"/>
      <c r="Z70" s="65">
        <f>SUM(I70:X70)</f>
        <v>3238721.9131750045</v>
      </c>
    </row>
    <row r="71" spans="8:27" ht="16" customHeight="1">
      <c r="H71" s="16" t="s">
        <v>117</v>
      </c>
      <c r="I71" s="71">
        <f>I33-I70</f>
        <v>257471.91</v>
      </c>
      <c r="J71" s="71">
        <f t="shared" ref="J71:X71" si="33">I71+J33-J70</f>
        <v>127751.69000000003</v>
      </c>
      <c r="K71" s="71">
        <f t="shared" si="33"/>
        <v>-258654.45655999996</v>
      </c>
      <c r="L71" s="71">
        <f t="shared" si="33"/>
        <v>-30324.916559999961</v>
      </c>
      <c r="M71" s="71">
        <f t="shared" si="33"/>
        <v>203913.7811634565</v>
      </c>
      <c r="N71" s="71">
        <f t="shared" si="33"/>
        <v>193423.63720405265</v>
      </c>
      <c r="O71" s="71">
        <f t="shared" si="33"/>
        <v>290558.24653497559</v>
      </c>
      <c r="P71" s="71">
        <f t="shared" si="33"/>
        <v>611123.27227209858</v>
      </c>
      <c r="Q71" s="71">
        <f t="shared" si="33"/>
        <v>1220629.9184153324</v>
      </c>
      <c r="R71" s="71">
        <f t="shared" si="33"/>
        <v>780145.59267079376</v>
      </c>
      <c r="S71" s="71">
        <f t="shared" si="33"/>
        <v>1032481.2992997938</v>
      </c>
      <c r="T71" s="71">
        <f t="shared" si="33"/>
        <v>1021020.543560794</v>
      </c>
      <c r="U71" s="71">
        <f t="shared" si="33"/>
        <v>1147138.8589695939</v>
      </c>
      <c r="V71" s="71">
        <f t="shared" si="33"/>
        <v>1327718.6301567939</v>
      </c>
      <c r="W71" s="71">
        <f t="shared" si="33"/>
        <v>1327718.6301567939</v>
      </c>
      <c r="X71" s="71">
        <f t="shared" si="33"/>
        <v>1327718.6301567939</v>
      </c>
      <c r="Y71" s="1"/>
      <c r="Z71" s="1"/>
      <c r="AA71" s="72"/>
    </row>
    <row r="72" spans="8:27" ht="16" customHeight="1">
      <c r="H72" s="161"/>
      <c r="I72" s="162"/>
      <c r="J72" s="162"/>
      <c r="K72" s="162"/>
      <c r="L72" s="162"/>
      <c r="M72" s="162"/>
      <c r="N72" s="162"/>
      <c r="O72" s="162"/>
      <c r="P72" s="162"/>
      <c r="Q72" s="162"/>
      <c r="R72" s="162"/>
      <c r="S72" s="162"/>
      <c r="T72" s="162"/>
      <c r="U72" s="162"/>
      <c r="V72" s="162"/>
      <c r="W72" s="162"/>
      <c r="X72" s="162"/>
      <c r="Y72" s="1"/>
      <c r="Z72" s="1"/>
      <c r="AA72" s="72"/>
    </row>
    <row r="73" spans="8:27" ht="16" customHeight="1">
      <c r="H73" s="16" t="s">
        <v>186</v>
      </c>
      <c r="I73" s="163">
        <f>SUM(Z70)</f>
        <v>3238721.9131750045</v>
      </c>
      <c r="J73" s="162"/>
      <c r="K73" s="162"/>
      <c r="L73" s="162"/>
      <c r="M73" s="162"/>
      <c r="N73" s="162"/>
      <c r="O73" s="162"/>
      <c r="P73" s="162"/>
      <c r="Q73" s="162"/>
      <c r="R73" s="162"/>
      <c r="S73" s="162"/>
      <c r="T73" s="162"/>
      <c r="U73" s="162"/>
      <c r="V73" s="162"/>
      <c r="W73" s="162"/>
      <c r="X73" s="162"/>
      <c r="Y73" s="1"/>
      <c r="Z73" s="1"/>
      <c r="AA73" s="72"/>
    </row>
    <row r="74" spans="8:27" ht="16" customHeight="1">
      <c r="H74" s="16" t="s">
        <v>187</v>
      </c>
      <c r="I74" s="72">
        <f>SUM(I30:O30)</f>
        <v>1616153</v>
      </c>
      <c r="K74" s="29"/>
    </row>
    <row r="75" spans="8:27" ht="16" customHeight="1">
      <c r="H75" s="16" t="s">
        <v>118</v>
      </c>
      <c r="I75" s="73">
        <f>Z70/SUM(I30:O30)</f>
        <v>2.0039698674413899</v>
      </c>
    </row>
    <row r="76" spans="8:27" ht="16" customHeight="1"/>
    <row r="77" spans="8:27" ht="16" customHeight="1"/>
    <row r="78" spans="8:27" ht="16" customHeight="1"/>
    <row r="79" spans="8:27" ht="16" customHeight="1"/>
    <row r="80" spans="8:27"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sheetData>
  <mergeCells count="2">
    <mergeCell ref="B4:C4"/>
    <mergeCell ref="E4:F4"/>
  </mergeCells>
  <pageMargins left="0.7" right="0.7" top="0.75" bottom="0.75" header="0.3" footer="0.3"/>
  <pageSetup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4</vt:i4>
      </vt:variant>
    </vt:vector>
  </HeadingPairs>
  <TitlesOfParts>
    <vt:vector size="4" baseType="lpstr">
      <vt:lpstr>Instructions</vt:lpstr>
      <vt:lpstr>National Program - Status Quo</vt:lpstr>
      <vt:lpstr>Patient Price Comparison</vt:lpstr>
      <vt:lpstr>Pilot Program (UHEP)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Homie Razavi</dc:creator>
  <cp:lastModifiedBy>Homie Razavi</cp:lastModifiedBy>
  <dcterms:created xsi:type="dcterms:W3CDTF">2019-12-25T03:31:30Z</dcterms:created>
  <dcterms:modified xsi:type="dcterms:W3CDTF">2020-07-08T20:46:32Z</dcterms:modified>
</cp:coreProperties>
</file>